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Septiembre/"/>
    </mc:Choice>
  </mc:AlternateContent>
  <xr:revisionPtr revIDLastSave="5" documentId="13_ncr:1_{C50AF637-9443-4628-B1BE-87AF3E1A25FA}" xr6:coauthVersionLast="47" xr6:coauthVersionMax="47" xr10:uidLastSave="{E8D8DE4A-05FF-4BE7-9E6D-DDFB92749205}"/>
  <bookViews>
    <workbookView xWindow="28680" yWindow="-120" windowWidth="29040" windowHeight="15720" xr2:uid="{00000000-000D-0000-FFFF-FFFF00000000}"/>
  </bookViews>
  <sheets>
    <sheet name="SEPTIEMBRE 30-2024" sheetId="11" r:id="rId1"/>
  </sheets>
  <externalReferences>
    <externalReference r:id="rId2"/>
  </externalReferences>
  <definedNames>
    <definedName name="_xlnm._FilterDatabase" localSheetId="0" hidden="1">'SEPTIEMBRE 30-2024'!$A$1:$IY$197</definedName>
    <definedName name="_xlnm.Print_Area" localSheetId="0">'SEPTIEMBRE 30-2024'!$A$1:$T$197</definedName>
    <definedName name="_xlnm.Print_Titles" localSheetId="0">'SEPTIEMBRE 30-2024'!$1:$1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11" l="1"/>
  <c r="P110" i="11"/>
  <c r="M104" i="11"/>
  <c r="K104" i="11"/>
  <c r="J104" i="11"/>
  <c r="J105" i="11"/>
  <c r="J102" i="11"/>
  <c r="J99" i="11"/>
  <c r="J97" i="11"/>
  <c r="J94" i="11"/>
  <c r="J93" i="11"/>
  <c r="M80" i="11" l="1"/>
  <c r="M40" i="11"/>
  <c r="K73" i="11"/>
  <c r="K85" i="11"/>
  <c r="L87" i="11"/>
  <c r="L79" i="11"/>
  <c r="L53" i="11"/>
  <c r="K87" i="11"/>
  <c r="K86" i="11"/>
  <c r="L57" i="11"/>
  <c r="L69" i="11"/>
  <c r="L67" i="11"/>
  <c r="L58" i="11"/>
  <c r="L56" i="11"/>
  <c r="L54" i="11"/>
  <c r="L50" i="11"/>
  <c r="K61" i="11"/>
  <c r="K59" i="11"/>
  <c r="K54" i="11"/>
  <c r="K83" i="11"/>
  <c r="K57" i="11"/>
  <c r="L85" i="11"/>
  <c r="L84" i="11"/>
  <c r="L80" i="11"/>
  <c r="L38" i="11"/>
  <c r="L83" i="11"/>
  <c r="K80" i="11"/>
  <c r="L73" i="11"/>
  <c r="L37" i="11"/>
  <c r="K40" i="11"/>
  <c r="L64" i="11"/>
  <c r="K64" i="11"/>
  <c r="K66" i="11"/>
  <c r="L82" i="11"/>
  <c r="L81" i="11"/>
  <c r="L77" i="11"/>
  <c r="L61" i="11"/>
  <c r="L59" i="11"/>
  <c r="L51" i="11"/>
  <c r="K55" i="11"/>
  <c r="K53" i="11"/>
  <c r="L68" i="11"/>
  <c r="L76" i="11"/>
  <c r="K68" i="11"/>
  <c r="K67" i="11"/>
  <c r="K56" i="11"/>
  <c r="K51" i="11"/>
  <c r="K37" i="11"/>
  <c r="K69" i="11"/>
  <c r="M82" i="11"/>
  <c r="M59" i="11" l="1"/>
  <c r="P59" i="11" s="1"/>
  <c r="M68" i="11"/>
  <c r="M69" i="11"/>
  <c r="M70" i="11"/>
  <c r="M58" i="11" l="1"/>
  <c r="M47" i="11"/>
  <c r="M48" i="11"/>
  <c r="M49" i="11"/>
  <c r="M50" i="11"/>
  <c r="M51" i="11"/>
  <c r="M52" i="11"/>
  <c r="M53" i="11"/>
  <c r="M54" i="11"/>
  <c r="M55" i="11"/>
  <c r="M56" i="11"/>
  <c r="M57" i="11"/>
  <c r="M60" i="11"/>
  <c r="M61" i="11"/>
  <c r="M62" i="11"/>
  <c r="M63" i="11"/>
  <c r="M64" i="11"/>
  <c r="M65" i="11"/>
  <c r="M66" i="11"/>
  <c r="M67" i="11"/>
  <c r="M72" i="11"/>
  <c r="M73" i="11"/>
  <c r="M74" i="11"/>
  <c r="M75" i="11"/>
  <c r="M76" i="11"/>
  <c r="M77" i="11"/>
  <c r="P77" i="11" s="1"/>
  <c r="M78" i="11"/>
  <c r="P78" i="11" s="1"/>
  <c r="M79" i="11"/>
  <c r="M81" i="11"/>
  <c r="M83" i="11"/>
  <c r="M84" i="11"/>
  <c r="M85" i="11"/>
  <c r="M86" i="11"/>
  <c r="M87" i="11"/>
  <c r="P79" i="11"/>
  <c r="Q44" i="11" l="1"/>
  <c r="L40" i="11"/>
  <c r="K82" i="11"/>
  <c r="L65" i="11"/>
  <c r="L55" i="11"/>
  <c r="K52" i="11"/>
  <c r="K50" i="11"/>
  <c r="K65" i="11"/>
  <c r="K38" i="11"/>
  <c r="J57" i="11"/>
  <c r="L66" i="11"/>
  <c r="N110" i="11" l="1"/>
  <c r="K79" i="11" l="1"/>
  <c r="T36" i="11"/>
  <c r="S36" i="11"/>
  <c r="K36" i="11"/>
  <c r="N36" i="11"/>
  <c r="O36" i="11"/>
  <c r="Q36" i="11"/>
  <c r="J36" i="11"/>
  <c r="K62" i="11"/>
  <c r="P62" i="11" s="1"/>
  <c r="K58" i="11"/>
  <c r="P47" i="11"/>
  <c r="T44" i="11"/>
  <c r="S44" i="11"/>
  <c r="N44" i="11"/>
  <c r="O44" i="11"/>
  <c r="J44" i="11"/>
  <c r="M41" i="11"/>
  <c r="R41" i="11"/>
  <c r="P41" i="11"/>
  <c r="K84" i="11"/>
  <c r="P148" i="11"/>
  <c r="S163" i="11"/>
  <c r="R63" i="11"/>
  <c r="R62" i="11"/>
  <c r="K63" i="11"/>
  <c r="K76" i="11"/>
  <c r="R96" i="11"/>
  <c r="J98" i="11"/>
  <c r="T26" i="11"/>
  <c r="T18" i="11"/>
  <c r="T4" i="11"/>
  <c r="S88" i="11" l="1"/>
  <c r="P63" i="11"/>
  <c r="T3" i="11"/>
  <c r="M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P50" i="11"/>
  <c r="L39" i="11"/>
  <c r="K44" i="11"/>
  <c r="L44" i="11"/>
  <c r="P71" i="11"/>
  <c r="R71" i="11"/>
  <c r="M37" i="11"/>
  <c r="M38" i="11"/>
  <c r="P40" i="11"/>
  <c r="M42" i="11"/>
  <c r="P42" i="11" s="1"/>
  <c r="M43" i="11"/>
  <c r="J45" i="11"/>
  <c r="J132" i="11"/>
  <c r="J146" i="11"/>
  <c r="J125" i="11" s="1"/>
  <c r="J147" i="11"/>
  <c r="R187" i="11"/>
  <c r="R178" i="11"/>
  <c r="R166" i="11"/>
  <c r="R160" i="11"/>
  <c r="R155" i="11"/>
  <c r="R153" i="11"/>
  <c r="R148" i="11"/>
  <c r="R145" i="11"/>
  <c r="R140" i="11"/>
  <c r="R135" i="11"/>
  <c r="J156" i="11"/>
  <c r="J152" i="11"/>
  <c r="T147" i="11"/>
  <c r="S147" i="11"/>
  <c r="Q147" i="11"/>
  <c r="O147" i="11"/>
  <c r="N147" i="11"/>
  <c r="L147" i="11"/>
  <c r="K147" i="11"/>
  <c r="T146" i="11"/>
  <c r="T125" i="11" s="1"/>
  <c r="T189" i="11" s="1"/>
  <c r="S146" i="11"/>
  <c r="S125" i="11" s="1"/>
  <c r="S189" i="11" s="1"/>
  <c r="Q146" i="11"/>
  <c r="Q125" i="11" s="1"/>
  <c r="O146" i="11"/>
  <c r="O125" i="11" s="1"/>
  <c r="O189" i="11" s="1"/>
  <c r="N146" i="11"/>
  <c r="N125" i="11" s="1"/>
  <c r="L146" i="11"/>
  <c r="L125" i="11" s="1"/>
  <c r="K125" i="11"/>
  <c r="T186" i="11"/>
  <c r="S186" i="11"/>
  <c r="Q186" i="11"/>
  <c r="R186" i="11" s="1"/>
  <c r="O186" i="11"/>
  <c r="N186" i="11"/>
  <c r="L186" i="11"/>
  <c r="K186" i="11"/>
  <c r="J186" i="11"/>
  <c r="T183" i="11"/>
  <c r="S183" i="11"/>
  <c r="Q183" i="11"/>
  <c r="O183" i="11"/>
  <c r="N183" i="11"/>
  <c r="L183" i="11"/>
  <c r="K183" i="11"/>
  <c r="J183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2" i="11"/>
  <c r="S172" i="11"/>
  <c r="Q172" i="11"/>
  <c r="O172" i="11"/>
  <c r="N172" i="11"/>
  <c r="L172" i="11"/>
  <c r="K172" i="11"/>
  <c r="J172" i="11"/>
  <c r="T169" i="11"/>
  <c r="S169" i="11"/>
  <c r="Q169" i="11"/>
  <c r="O169" i="11"/>
  <c r="N169" i="11"/>
  <c r="L169" i="11"/>
  <c r="K169" i="11"/>
  <c r="J169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Q163" i="11"/>
  <c r="O163" i="11"/>
  <c r="N163" i="11"/>
  <c r="L163" i="11"/>
  <c r="K163" i="11"/>
  <c r="J163" i="11"/>
  <c r="T156" i="11"/>
  <c r="S156" i="11"/>
  <c r="Q156" i="11"/>
  <c r="O156" i="11"/>
  <c r="N156" i="11"/>
  <c r="L156" i="11"/>
  <c r="K156" i="11"/>
  <c r="K152" i="11"/>
  <c r="T152" i="11"/>
  <c r="S152" i="11"/>
  <c r="Q152" i="11"/>
  <c r="O152" i="11"/>
  <c r="N152" i="11"/>
  <c r="L152" i="11"/>
  <c r="L142" i="11"/>
  <c r="K142" i="11"/>
  <c r="T142" i="11"/>
  <c r="S142" i="11"/>
  <c r="Q142" i="11"/>
  <c r="O142" i="11"/>
  <c r="N142" i="11"/>
  <c r="J142" i="11"/>
  <c r="T138" i="11"/>
  <c r="S138" i="11"/>
  <c r="Q138" i="11"/>
  <c r="O138" i="11"/>
  <c r="N138" i="11"/>
  <c r="L138" i="11"/>
  <c r="K138" i="11"/>
  <c r="J138" i="11"/>
  <c r="T137" i="11"/>
  <c r="T126" i="11" s="1"/>
  <c r="S137" i="11"/>
  <c r="S126" i="11" s="1"/>
  <c r="Q137" i="11"/>
  <c r="Q126" i="11" s="1"/>
  <c r="R126" i="11" s="1"/>
  <c r="O137" i="11"/>
  <c r="O126" i="11" s="1"/>
  <c r="N137" i="11"/>
  <c r="N126" i="11" s="1"/>
  <c r="L137" i="11"/>
  <c r="L126" i="11" s="1"/>
  <c r="K137" i="11"/>
  <c r="K126" i="11" s="1"/>
  <c r="J137" i="11"/>
  <c r="J126" i="11" s="1"/>
  <c r="T136" i="11"/>
  <c r="S136" i="11"/>
  <c r="Q136" i="11"/>
  <c r="O136" i="11"/>
  <c r="N136" i="11"/>
  <c r="L136" i="11"/>
  <c r="K136" i="11"/>
  <c r="J136" i="11"/>
  <c r="T132" i="11"/>
  <c r="S132" i="11"/>
  <c r="Q132" i="11"/>
  <c r="O132" i="11"/>
  <c r="N132" i="11"/>
  <c r="L132" i="11"/>
  <c r="K132" i="11"/>
  <c r="J130" i="11"/>
  <c r="T128" i="11"/>
  <c r="S128" i="11"/>
  <c r="Q128" i="11"/>
  <c r="O128" i="11"/>
  <c r="J128" i="11"/>
  <c r="R50" i="11" l="1"/>
  <c r="M39" i="11"/>
  <c r="L36" i="11"/>
  <c r="M36" i="11"/>
  <c r="J127" i="11"/>
  <c r="S162" i="11"/>
  <c r="S161" i="11" s="1"/>
  <c r="T162" i="11"/>
  <c r="T161" i="11" s="1"/>
  <c r="Q162" i="11"/>
  <c r="Q161" i="11" s="1"/>
  <c r="Q189" i="11"/>
  <c r="P51" i="11"/>
  <c r="N162" i="11"/>
  <c r="N161" i="11" s="1"/>
  <c r="J124" i="11"/>
  <c r="J162" i="11"/>
  <c r="J161" i="11" s="1"/>
  <c r="K162" i="11"/>
  <c r="K161" i="11" s="1"/>
  <c r="L162" i="11"/>
  <c r="L161" i="11" s="1"/>
  <c r="O162" i="11"/>
  <c r="O161" i="11" s="1"/>
  <c r="R137" i="11"/>
  <c r="L130" i="11"/>
  <c r="K130" i="11"/>
  <c r="T130" i="11"/>
  <c r="S130" i="11"/>
  <c r="Q130" i="11"/>
  <c r="O130" i="11"/>
  <c r="N130" i="11"/>
  <c r="N128" i="11"/>
  <c r="L128" i="11"/>
  <c r="K128" i="11"/>
  <c r="M166" i="11"/>
  <c r="M165" i="11" s="1"/>
  <c r="M168" i="11"/>
  <c r="M170" i="11"/>
  <c r="R170" i="11" s="1"/>
  <c r="M171" i="11"/>
  <c r="R171" i="11" s="1"/>
  <c r="M173" i="11"/>
  <c r="R173" i="11" s="1"/>
  <c r="M174" i="11"/>
  <c r="R174" i="11" s="1"/>
  <c r="M176" i="11"/>
  <c r="M178" i="11"/>
  <c r="M177" i="11" s="1"/>
  <c r="M180" i="11"/>
  <c r="M182" i="11"/>
  <c r="M184" i="11"/>
  <c r="R184" i="11" s="1"/>
  <c r="M185" i="11"/>
  <c r="R185" i="11" s="1"/>
  <c r="M187" i="11"/>
  <c r="M186" i="11" s="1"/>
  <c r="M164" i="11"/>
  <c r="M131" i="11"/>
  <c r="P131" i="11" s="1"/>
  <c r="M133" i="11"/>
  <c r="R133" i="11" s="1"/>
  <c r="M134" i="11"/>
  <c r="R134" i="11" s="1"/>
  <c r="M135" i="11"/>
  <c r="M139" i="11"/>
  <c r="M140" i="11"/>
  <c r="M141" i="11"/>
  <c r="M143" i="11"/>
  <c r="M144" i="11"/>
  <c r="M145" i="11"/>
  <c r="M149" i="11"/>
  <c r="M150" i="11"/>
  <c r="M151" i="11"/>
  <c r="R151" i="11" s="1"/>
  <c r="M153" i="11"/>
  <c r="M154" i="11"/>
  <c r="R154" i="11" s="1"/>
  <c r="M155" i="11"/>
  <c r="M157" i="11"/>
  <c r="R157" i="11" s="1"/>
  <c r="M158" i="11"/>
  <c r="R158" i="11" s="1"/>
  <c r="M159" i="11"/>
  <c r="R159" i="11" s="1"/>
  <c r="M160" i="11"/>
  <c r="M129" i="11"/>
  <c r="M114" i="11"/>
  <c r="P111" i="11"/>
  <c r="M96" i="11"/>
  <c r="M100" i="11"/>
  <c r="M101" i="11"/>
  <c r="M103" i="11"/>
  <c r="M95" i="11"/>
  <c r="R60" i="11"/>
  <c r="M46" i="11"/>
  <c r="P85" i="11"/>
  <c r="M167" i="11" l="1"/>
  <c r="R167" i="11" s="1"/>
  <c r="P168" i="11"/>
  <c r="R168" i="11"/>
  <c r="M146" i="11"/>
  <c r="R149" i="11"/>
  <c r="P150" i="11"/>
  <c r="R150" i="11"/>
  <c r="R143" i="11"/>
  <c r="P143" i="11"/>
  <c r="M130" i="11"/>
  <c r="R130" i="11" s="1"/>
  <c r="R131" i="11"/>
  <c r="M138" i="11"/>
  <c r="R138" i="11" s="1"/>
  <c r="P141" i="11"/>
  <c r="R141" i="11"/>
  <c r="P144" i="11"/>
  <c r="R144" i="11"/>
  <c r="M137" i="11"/>
  <c r="M126" i="11" s="1"/>
  <c r="P140" i="11"/>
  <c r="M181" i="11"/>
  <c r="R181" i="11" s="1"/>
  <c r="R182" i="11"/>
  <c r="M136" i="11"/>
  <c r="R136" i="11" s="1"/>
  <c r="R139" i="11"/>
  <c r="M175" i="11"/>
  <c r="R175" i="11" s="1"/>
  <c r="R176" i="11"/>
  <c r="M163" i="11"/>
  <c r="R164" i="11"/>
  <c r="M128" i="11"/>
  <c r="R128" i="11" s="1"/>
  <c r="R129" i="11"/>
  <c r="M44" i="11"/>
  <c r="M179" i="11"/>
  <c r="R179" i="11" s="1"/>
  <c r="R180" i="11"/>
  <c r="M147" i="11"/>
  <c r="R147" i="11" s="1"/>
  <c r="M183" i="11"/>
  <c r="R183" i="11" s="1"/>
  <c r="M156" i="11"/>
  <c r="R156" i="11" s="1"/>
  <c r="M142" i="11"/>
  <c r="R142" i="11" s="1"/>
  <c r="M152" i="11"/>
  <c r="R152" i="11" s="1"/>
  <c r="M172" i="11"/>
  <c r="R172" i="11" s="1"/>
  <c r="M132" i="11"/>
  <c r="R132" i="11" s="1"/>
  <c r="M169" i="11"/>
  <c r="R169" i="11" s="1"/>
  <c r="R37" i="11"/>
  <c r="R110" i="11"/>
  <c r="M127" i="11"/>
  <c r="P151" i="11"/>
  <c r="T127" i="11"/>
  <c r="S127" i="11"/>
  <c r="Q127" i="11"/>
  <c r="O127" i="11"/>
  <c r="N127" i="11"/>
  <c r="L127" i="11"/>
  <c r="K127" i="11"/>
  <c r="M125" i="11" l="1"/>
  <c r="R125" i="11" s="1"/>
  <c r="R146" i="11"/>
  <c r="R163" i="11"/>
  <c r="M162" i="11"/>
  <c r="R44" i="11"/>
  <c r="R127" i="11"/>
  <c r="T124" i="11"/>
  <c r="T188" i="11" s="1"/>
  <c r="S124" i="11"/>
  <c r="S188" i="11" s="1"/>
  <c r="Q124" i="11"/>
  <c r="Q188" i="11" s="1"/>
  <c r="O124" i="11"/>
  <c r="N124" i="11"/>
  <c r="L124" i="11"/>
  <c r="K124" i="11"/>
  <c r="J89" i="11"/>
  <c r="J120" i="11" s="1"/>
  <c r="T191" i="11"/>
  <c r="S191" i="11"/>
  <c r="Q191" i="11"/>
  <c r="T190" i="11"/>
  <c r="S190" i="11"/>
  <c r="O190" i="11"/>
  <c r="N190" i="11"/>
  <c r="N189" i="11"/>
  <c r="K191" i="11"/>
  <c r="L190" i="11"/>
  <c r="K190" i="11"/>
  <c r="L189" i="11"/>
  <c r="K189" i="11"/>
  <c r="J190" i="11"/>
  <c r="J189" i="11"/>
  <c r="P185" i="11"/>
  <c r="P174" i="11"/>
  <c r="P160" i="11"/>
  <c r="P159" i="11"/>
  <c r="P158" i="11"/>
  <c r="P155" i="11"/>
  <c r="P154" i="11"/>
  <c r="P147" i="11"/>
  <c r="P145" i="11"/>
  <c r="P135" i="11"/>
  <c r="P134" i="11"/>
  <c r="P37" i="11"/>
  <c r="P38" i="11"/>
  <c r="M124" i="11"/>
  <c r="P49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7" i="11"/>
  <c r="P68" i="11"/>
  <c r="P69" i="11"/>
  <c r="P70" i="11"/>
  <c r="P72" i="11"/>
  <c r="P73" i="11"/>
  <c r="P74" i="11"/>
  <c r="P75" i="11"/>
  <c r="P46" i="11" s="1"/>
  <c r="P76" i="11"/>
  <c r="P80" i="11"/>
  <c r="P81" i="11"/>
  <c r="P82" i="11"/>
  <c r="P83" i="11"/>
  <c r="P84" i="11"/>
  <c r="P86" i="11"/>
  <c r="P87" i="11"/>
  <c r="P48" i="11"/>
  <c r="P39" i="11"/>
  <c r="P43" i="11"/>
  <c r="L191" i="11"/>
  <c r="L113" i="11"/>
  <c r="L112" i="11" s="1"/>
  <c r="L108" i="11" s="1"/>
  <c r="L116" i="11" s="1"/>
  <c r="L119" i="11" s="1"/>
  <c r="K113" i="11"/>
  <c r="K112" i="11" s="1"/>
  <c r="K108" i="11" s="1"/>
  <c r="K116" i="11" s="1"/>
  <c r="K119" i="11" s="1"/>
  <c r="L109" i="11"/>
  <c r="L107" i="11" s="1"/>
  <c r="L115" i="11" s="1"/>
  <c r="K109" i="11"/>
  <c r="K107" i="11" s="1"/>
  <c r="K115" i="11" s="1"/>
  <c r="L102" i="11"/>
  <c r="K102" i="11"/>
  <c r="L99" i="11"/>
  <c r="L98" i="11" s="1"/>
  <c r="L97" i="11" s="1"/>
  <c r="K99" i="11"/>
  <c r="K98" i="11" s="1"/>
  <c r="K97" i="11" s="1"/>
  <c r="L94" i="11"/>
  <c r="L93" i="11" s="1"/>
  <c r="K94" i="11"/>
  <c r="K93" i="11" s="1"/>
  <c r="L46" i="11"/>
  <c r="K46" i="11"/>
  <c r="L45" i="11"/>
  <c r="K45" i="11"/>
  <c r="K89" i="11" s="1"/>
  <c r="K120" i="11" s="1"/>
  <c r="L88" i="11"/>
  <c r="K88" i="11"/>
  <c r="L26" i="11"/>
  <c r="K26" i="11"/>
  <c r="L18" i="11"/>
  <c r="K18" i="11"/>
  <c r="L4" i="11"/>
  <c r="K4" i="11"/>
  <c r="J191" i="11"/>
  <c r="J113" i="11"/>
  <c r="J112" i="11" s="1"/>
  <c r="J108" i="11" s="1"/>
  <c r="J116" i="11" s="1"/>
  <c r="J119" i="11" s="1"/>
  <c r="J109" i="11"/>
  <c r="J107" i="11" s="1"/>
  <c r="J115" i="11" s="1"/>
  <c r="J46" i="11"/>
  <c r="J90" i="11" s="1"/>
  <c r="J121" i="11" s="1"/>
  <c r="J26" i="11"/>
  <c r="J18" i="11"/>
  <c r="J4" i="11"/>
  <c r="O191" i="11"/>
  <c r="P36" i="11" l="1"/>
  <c r="U88" i="11"/>
  <c r="P44" i="11"/>
  <c r="S192" i="11"/>
  <c r="R124" i="11"/>
  <c r="M161" i="11"/>
  <c r="R161" i="11" s="1"/>
  <c r="R162" i="11"/>
  <c r="M102" i="11"/>
  <c r="Q190" i="11"/>
  <c r="Q192" i="11" s="1"/>
  <c r="M99" i="11"/>
  <c r="L90" i="11"/>
  <c r="L89" i="11"/>
  <c r="L120" i="11" s="1"/>
  <c r="K90" i="11"/>
  <c r="K121" i="11" s="1"/>
  <c r="K91" i="11"/>
  <c r="M189" i="11"/>
  <c r="M190" i="11"/>
  <c r="J188" i="11"/>
  <c r="J192" i="11" s="1"/>
  <c r="P171" i="11"/>
  <c r="M191" i="11"/>
  <c r="M4" i="11"/>
  <c r="L188" i="11"/>
  <c r="L192" i="11" s="1"/>
  <c r="K188" i="11"/>
  <c r="K192" i="11" s="1"/>
  <c r="K117" i="11"/>
  <c r="L117" i="11"/>
  <c r="L104" i="11"/>
  <c r="L105" i="11" s="1"/>
  <c r="K105" i="11"/>
  <c r="L3" i="11"/>
  <c r="L33" i="11" s="1"/>
  <c r="L34" i="11" s="1"/>
  <c r="K3" i="11"/>
  <c r="K33" i="11" s="1"/>
  <c r="K34" i="11" s="1"/>
  <c r="N188" i="11"/>
  <c r="J117" i="11"/>
  <c r="J88" i="11"/>
  <c r="J91" i="11" s="1"/>
  <c r="J3" i="11"/>
  <c r="O188" i="11"/>
  <c r="Q45" i="11"/>
  <c r="Q46" i="11"/>
  <c r="O45" i="11"/>
  <c r="O89" i="11" s="1"/>
  <c r="O46" i="11"/>
  <c r="M90" i="11"/>
  <c r="M45" i="11"/>
  <c r="T94" i="11"/>
  <c r="S94" i="11"/>
  <c r="Q94" i="11"/>
  <c r="O94" i="11"/>
  <c r="N94" i="11"/>
  <c r="M94" i="11"/>
  <c r="M93" i="11" s="1"/>
  <c r="R95" i="11"/>
  <c r="P95" i="11"/>
  <c r="P101" i="11"/>
  <c r="P103" i="11"/>
  <c r="P102" i="11" s="1"/>
  <c r="T102" i="11"/>
  <c r="S102" i="11"/>
  <c r="Q102" i="11"/>
  <c r="O102" i="11"/>
  <c r="N102" i="11"/>
  <c r="S26" i="11"/>
  <c r="Q26" i="11"/>
  <c r="O26" i="11"/>
  <c r="M26" i="11"/>
  <c r="S18" i="11"/>
  <c r="Q18" i="11"/>
  <c r="O18" i="11"/>
  <c r="M18" i="11"/>
  <c r="S4" i="11"/>
  <c r="Q4" i="11"/>
  <c r="O4" i="11"/>
  <c r="P137" i="11" l="1"/>
  <c r="P126" i="11" s="1"/>
  <c r="P190" i="11" s="1"/>
  <c r="P127" i="11"/>
  <c r="P138" i="11"/>
  <c r="L91" i="11"/>
  <c r="J33" i="11"/>
  <c r="J34" i="11" s="1"/>
  <c r="M98" i="11"/>
  <c r="L121" i="11"/>
  <c r="M188" i="11"/>
  <c r="R188" i="11" s="1"/>
  <c r="K118" i="11"/>
  <c r="K122" i="11" s="1"/>
  <c r="K193" i="11" s="1"/>
  <c r="L118" i="11"/>
  <c r="O93" i="11"/>
  <c r="O104" i="11" s="1"/>
  <c r="O88" i="11"/>
  <c r="N88" i="11"/>
  <c r="P27" i="11"/>
  <c r="R42" i="11"/>
  <c r="R43" i="11"/>
  <c r="M89" i="11"/>
  <c r="M120" i="11" s="1"/>
  <c r="N45" i="11"/>
  <c r="N89" i="11" s="1"/>
  <c r="N120" i="11" s="1"/>
  <c r="O120" i="11"/>
  <c r="Q89" i="11"/>
  <c r="S45" i="11"/>
  <c r="S89" i="11" s="1"/>
  <c r="T45" i="11"/>
  <c r="T89" i="11" s="1"/>
  <c r="M121" i="11"/>
  <c r="N46" i="11"/>
  <c r="N90" i="11" s="1"/>
  <c r="N121" i="11" s="1"/>
  <c r="O90" i="11"/>
  <c r="O121" i="11" s="1"/>
  <c r="S46" i="11"/>
  <c r="S90" i="11" s="1"/>
  <c r="S121" i="11" s="1"/>
  <c r="T46" i="11"/>
  <c r="T90" i="11" s="1"/>
  <c r="T121" i="11" s="1"/>
  <c r="P166" i="11"/>
  <c r="P165" i="11" s="1"/>
  <c r="P167" i="11"/>
  <c r="P170" i="11"/>
  <c r="P169" i="11" s="1"/>
  <c r="P173" i="11"/>
  <c r="P172" i="11" s="1"/>
  <c r="P176" i="11"/>
  <c r="P175" i="11" s="1"/>
  <c r="P178" i="11"/>
  <c r="P177" i="11" s="1"/>
  <c r="P180" i="11"/>
  <c r="P179" i="11" s="1"/>
  <c r="P182" i="11"/>
  <c r="P181" i="11" s="1"/>
  <c r="P184" i="11"/>
  <c r="P183" i="11" s="1"/>
  <c r="P187" i="11"/>
  <c r="P186" i="11" s="1"/>
  <c r="P164" i="11"/>
  <c r="P163" i="11" s="1"/>
  <c r="P130" i="11"/>
  <c r="P133" i="11"/>
  <c r="P132" i="11" s="1"/>
  <c r="P139" i="11"/>
  <c r="P136" i="11" s="1"/>
  <c r="P142" i="11"/>
  <c r="P149" i="11"/>
  <c r="P146" i="11" s="1"/>
  <c r="P153" i="11"/>
  <c r="P152" i="11" s="1"/>
  <c r="P157" i="11"/>
  <c r="P156" i="11" s="1"/>
  <c r="P129" i="11"/>
  <c r="P128" i="11" s="1"/>
  <c r="S109" i="11"/>
  <c r="S115" i="11" s="1"/>
  <c r="R48" i="11"/>
  <c r="P96" i="11"/>
  <c r="T93" i="11"/>
  <c r="S93" i="11"/>
  <c r="Q109" i="11"/>
  <c r="Q115" i="11" s="1"/>
  <c r="Q93" i="11"/>
  <c r="N93" i="11"/>
  <c r="N104" i="11" s="1"/>
  <c r="Q99" i="11"/>
  <c r="Q98" i="11" s="1"/>
  <c r="Q97" i="11" s="1"/>
  <c r="N4" i="11"/>
  <c r="R100" i="11"/>
  <c r="R75" i="11"/>
  <c r="O109" i="11"/>
  <c r="O107" i="11" s="1"/>
  <c r="M109" i="11"/>
  <c r="P109" i="11" s="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7" i="11"/>
  <c r="R86" i="11"/>
  <c r="R85" i="11"/>
  <c r="R84" i="11"/>
  <c r="R83" i="11"/>
  <c r="R82" i="11"/>
  <c r="R81" i="11"/>
  <c r="R80" i="11"/>
  <c r="R78" i="11"/>
  <c r="R77" i="11"/>
  <c r="R76" i="11"/>
  <c r="R74" i="11"/>
  <c r="R73" i="11"/>
  <c r="R72" i="11"/>
  <c r="R70" i="11"/>
  <c r="R69" i="11"/>
  <c r="R68" i="11"/>
  <c r="R67" i="11"/>
  <c r="R66" i="11"/>
  <c r="R65" i="11"/>
  <c r="R64" i="11"/>
  <c r="R61" i="11"/>
  <c r="R59" i="11"/>
  <c r="R58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0" i="11"/>
  <c r="R114" i="11"/>
  <c r="R111" i="11"/>
  <c r="R101" i="11"/>
  <c r="T109" i="11"/>
  <c r="T107" i="11" s="1"/>
  <c r="R103" i="11"/>
  <c r="O99" i="11"/>
  <c r="O98" i="11" s="1"/>
  <c r="O97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9" i="11"/>
  <c r="N115" i="11" s="1"/>
  <c r="N99" i="11"/>
  <c r="N113" i="11"/>
  <c r="N112" i="11" s="1"/>
  <c r="N108" i="11" s="1"/>
  <c r="P114" i="11"/>
  <c r="T113" i="11"/>
  <c r="T112" i="11" s="1"/>
  <c r="T108" i="11" s="1"/>
  <c r="T116" i="11" s="1"/>
  <c r="S113" i="11"/>
  <c r="S112" i="11" s="1"/>
  <c r="S108" i="11" s="1"/>
  <c r="S116" i="11" s="1"/>
  <c r="Q113" i="11"/>
  <c r="O113" i="11"/>
  <c r="O112" i="11" s="1"/>
  <c r="O108" i="11" s="1"/>
  <c r="O116" i="11" s="1"/>
  <c r="O119" i="11" s="1"/>
  <c r="M113" i="11"/>
  <c r="M112" i="11" s="1"/>
  <c r="T99" i="11"/>
  <c r="T98" i="11" s="1"/>
  <c r="T97" i="11" s="1"/>
  <c r="S99" i="11"/>
  <c r="S98" i="11" s="1"/>
  <c r="S97" i="11" s="1"/>
  <c r="R38" i="11"/>
  <c r="R39" i="11"/>
  <c r="R93" i="11" l="1"/>
  <c r="P162" i="11"/>
  <c r="P161" i="11" s="1"/>
  <c r="P191" i="11"/>
  <c r="P125" i="11"/>
  <c r="M97" i="11"/>
  <c r="R97" i="11" s="1"/>
  <c r="L122" i="11"/>
  <c r="L193" i="11" s="1"/>
  <c r="P189" i="11"/>
  <c r="P124" i="11"/>
  <c r="M107" i="11"/>
  <c r="R109" i="11"/>
  <c r="T104" i="11"/>
  <c r="T105" i="11" s="1"/>
  <c r="S104" i="11"/>
  <c r="S105" i="11" s="1"/>
  <c r="Q104" i="11"/>
  <c r="R189" i="11"/>
  <c r="O105" i="11"/>
  <c r="P94" i="11"/>
  <c r="P93" i="11" s="1"/>
  <c r="P18" i="11"/>
  <c r="P4" i="11"/>
  <c r="P26" i="11"/>
  <c r="Q88" i="11"/>
  <c r="T88" i="11"/>
  <c r="T91" i="11" s="1"/>
  <c r="R46" i="11"/>
  <c r="O115" i="11"/>
  <c r="O117" i="11" s="1"/>
  <c r="P88" i="11"/>
  <c r="R45" i="11"/>
  <c r="Q90" i="11"/>
  <c r="Q121" i="11" s="1"/>
  <c r="R121" i="11" s="1"/>
  <c r="N91" i="11"/>
  <c r="R94" i="11"/>
  <c r="P45" i="11"/>
  <c r="P90" i="11"/>
  <c r="P121" i="11" s="1"/>
  <c r="R18" i="11"/>
  <c r="N192" i="11"/>
  <c r="O3" i="11"/>
  <c r="O33" i="11" s="1"/>
  <c r="O34" i="11" s="1"/>
  <c r="N116" i="11"/>
  <c r="N119" i="11" s="1"/>
  <c r="P99" i="11"/>
  <c r="P98" i="11" s="1"/>
  <c r="P97" i="11" s="1"/>
  <c r="N3" i="11"/>
  <c r="N33" i="11" s="1"/>
  <c r="N34" i="11" s="1"/>
  <c r="R113" i="11"/>
  <c r="N107" i="11"/>
  <c r="R191" i="11"/>
  <c r="M192" i="11"/>
  <c r="R190" i="11"/>
  <c r="T115" i="11"/>
  <c r="S107" i="11"/>
  <c r="Q107" i="11"/>
  <c r="R99" i="11"/>
  <c r="R36" i="11"/>
  <c r="O91" i="11"/>
  <c r="M88" i="11"/>
  <c r="M91" i="11" s="1"/>
  <c r="T33" i="11"/>
  <c r="S3" i="11"/>
  <c r="S33" i="11" s="1"/>
  <c r="S34" i="11" s="1"/>
  <c r="Q3" i="11"/>
  <c r="R26" i="11"/>
  <c r="M3" i="11"/>
  <c r="M33" i="11" s="1"/>
  <c r="M34" i="11" s="1"/>
  <c r="T120" i="11"/>
  <c r="S120" i="11"/>
  <c r="R98" i="11"/>
  <c r="N105" i="11"/>
  <c r="S117" i="11"/>
  <c r="S119" i="11"/>
  <c r="M108" i="11"/>
  <c r="M116" i="11" s="1"/>
  <c r="M119" i="11" s="1"/>
  <c r="P112" i="11"/>
  <c r="P108" i="11" s="1"/>
  <c r="P116" i="11" s="1"/>
  <c r="P119" i="11" s="1"/>
  <c r="T119" i="11"/>
  <c r="Q120" i="11"/>
  <c r="R120" i="11" s="1"/>
  <c r="R89" i="11"/>
  <c r="R4" i="11"/>
  <c r="P113" i="11"/>
  <c r="Q112" i="11"/>
  <c r="R192" i="11" l="1"/>
  <c r="S91" i="11"/>
  <c r="S118" i="11"/>
  <c r="S122" i="11" s="1"/>
  <c r="S193" i="11" s="1"/>
  <c r="T34" i="11"/>
  <c r="T118" i="11"/>
  <c r="T122" i="11" s="1"/>
  <c r="R107" i="11"/>
  <c r="J118" i="11"/>
  <c r="J122" i="11" s="1"/>
  <c r="J193" i="11" s="1"/>
  <c r="J194" i="11" s="1"/>
  <c r="M115" i="11"/>
  <c r="R115" i="11" s="1"/>
  <c r="P188" i="11"/>
  <c r="P192" i="11" s="1"/>
  <c r="T192" i="11"/>
  <c r="O192" i="11"/>
  <c r="M105" i="11"/>
  <c r="P104" i="11"/>
  <c r="P105" i="11" s="1"/>
  <c r="Q91" i="11"/>
  <c r="R91" i="11" s="1"/>
  <c r="P89" i="11"/>
  <c r="P120" i="11" s="1"/>
  <c r="R90" i="11"/>
  <c r="R3" i="11"/>
  <c r="N117" i="11"/>
  <c r="R102" i="11"/>
  <c r="T117" i="11"/>
  <c r="P3" i="11"/>
  <c r="P33" i="11" s="1"/>
  <c r="P34" i="11" s="1"/>
  <c r="R88" i="11"/>
  <c r="Q33" i="11"/>
  <c r="R33" i="11" s="1"/>
  <c r="O118" i="11"/>
  <c r="O122" i="11" s="1"/>
  <c r="Q105" i="11"/>
  <c r="R112" i="11"/>
  <c r="Q108" i="11"/>
  <c r="P115" i="11"/>
  <c r="P107" i="11"/>
  <c r="N118" i="11"/>
  <c r="N122" i="11" s="1"/>
  <c r="N193" i="11" s="1"/>
  <c r="M117" i="11" l="1"/>
  <c r="T193" i="11"/>
  <c r="Q118" i="11"/>
  <c r="Q34" i="11"/>
  <c r="R34" i="11" s="1"/>
  <c r="R104" i="11"/>
  <c r="O193" i="11"/>
  <c r="M118" i="11"/>
  <c r="R105" i="11"/>
  <c r="P91" i="11"/>
  <c r="R108" i="11"/>
  <c r="Q116" i="11"/>
  <c r="P117" i="11"/>
  <c r="P118" i="11"/>
  <c r="P122" i="11" s="1"/>
  <c r="P193" i="11" s="1"/>
  <c r="M122" i="11" l="1"/>
  <c r="R118" i="11"/>
  <c r="Q119" i="11"/>
  <c r="R116" i="11"/>
  <c r="Q117" i="11"/>
  <c r="R117" i="11" s="1"/>
  <c r="M193" i="11" l="1"/>
  <c r="R119" i="11"/>
  <c r="Q122" i="11"/>
  <c r="Q193" i="11" s="1"/>
  <c r="R122" i="11" l="1"/>
  <c r="R193" i="11"/>
</calcChain>
</file>

<file path=xl/sharedStrings.xml><?xml version="1.0" encoding="utf-8"?>
<sst xmlns="http://schemas.openxmlformats.org/spreadsheetml/2006/main" count="1300" uniqueCount="250">
  <si>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</si>
  <si>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</si>
  <si>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</si>
  <si>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</si>
  <si>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</si>
  <si>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</si>
  <si>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</si>
  <si>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</si>
  <si>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</si>
  <si>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</si>
  <si>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</si>
  <si>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</si>
  <si>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</si>
  <si>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</si>
  <si>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</si>
  <si>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</si>
  <si>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</si>
  <si>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</si>
  <si>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</si>
  <si>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</si>
  <si>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</si>
  <si>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</si>
  <si>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</si>
  <si>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</si>
  <si>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</si>
  <si>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</si>
  <si>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</si>
  <si>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</si>
  <si>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</si>
  <si>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</si>
  <si>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</si>
  <si>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</si>
  <si>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</si>
  <si>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</si>
  <si>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</si>
  <si>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</si>
  <si>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</si>
  <si>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</si>
  <si>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</si>
  <si>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</si>
  <si>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</si>
  <si>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</si>
  <si>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</si>
  <si>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</si>
  <si>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</si>
  <si>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</si>
  <si>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</si>
  <si>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</si>
  <si>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</si>
  <si>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</si>
  <si>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</si>
  <si>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</si>
  <si>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</si>
  <si>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</si>
  <si>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</si>
  <si>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</si>
  <si>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</si>
  <si>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</si>
  <si>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</si>
  <si>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</si>
  <si>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</si>
  <si>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</si>
  <si>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</si>
  <si>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</si>
  <si>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</si>
  <si>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</si>
  <si>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</si>
  <si>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</si>
  <si>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</si>
  <si>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</si>
  <si>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</si>
  <si>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</si>
  <si>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</si>
  <si>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</si>
  <si>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</si>
  <si>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</si>
  <si>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</si>
  <si>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</si>
  <si>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</si>
  <si>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</si>
  <si>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</si>
  <si>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</si>
  <si>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</si>
  <si>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</si>
  <si>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</si>
  <si>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</si>
  <si>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</si>
  <si>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</si>
  <si>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</si>
  <si>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</si>
  <si>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</si>
  <si>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</si>
  <si>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</si>
  <si>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</si>
  <si>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</si>
  <si>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</si>
  <si>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</si>
  <si>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</si>
  <si>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</si>
  <si>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</si>
  <si>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</si>
  <si>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</si>
  <si>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</si>
  <si>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</si>
  <si>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</si>
  <si>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</si>
  <si>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</si>
  <si>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</si>
  <si>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</si>
  <si>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</si>
  <si>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</si>
  <si>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</si>
  <si>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</si>
  <si>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</si>
  <si>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</si>
  <si>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</si>
  <si>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</si>
  <si>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</si>
  <si>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</si>
  <si>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</si>
  <si>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</si>
  <si>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</si>
  <si>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</si>
  <si>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</si>
  <si>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</si>
  <si>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</si>
  <si>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</si>
  <si>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</si>
  <si>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</si>
  <si>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</si>
  <si>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</si>
  <si>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</si>
  <si>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</si>
  <si>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</si>
  <si>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</si>
  <si>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</si>
  <si>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</si>
  <si>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</si>
  <si>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</si>
  <si>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</si>
  <si>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</si>
  <si>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</si>
  <si>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</si>
  <si>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</si>
  <si>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</si>
  <si>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</si>
  <si>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</si>
  <si>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</si>
  <si>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</si>
  <si>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</si>
  <si>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</si>
  <si>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</si>
  <si>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</si>
  <si>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</si>
  <si>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</si>
  <si>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</si>
  <si>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</si>
  <si>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</si>
  <si>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</si>
  <si>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</si>
  <si>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</si>
  <si>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</si>
  <si>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</si>
  <si>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</si>
  <si>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</si>
  <si>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</si>
  <si>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</si>
  <si>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</si>
  <si>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</si>
  <si>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</si>
  <si>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</si>
  <si>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</si>
  <si>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</si>
  <si>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</si>
  <si>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</si>
  <si>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</si>
  <si>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</si>
  <si>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</si>
  <si>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</si>
  <si>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</si>
  <si>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</si>
  <si>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</si>
  <si>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</si>
  <si>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</si>
  <si>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</si>
  <si>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</si>
  <si>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</si>
  <si>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</si>
  <si>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</si>
  <si>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</si>
  <si>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</si>
  <si>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</si>
  <si>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</si>
  <si>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</si>
  <si>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</si>
  <si>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</si>
  <si>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</si>
  <si>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</si>
  <si>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</si>
  <si>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</si>
  <si>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</si>
  <si>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</si>
  <si>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</si>
  <si>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</si>
  <si>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</si>
  <si>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</si>
  <si>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</si>
  <si>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</si>
  <si>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</si>
  <si>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</si>
  <si>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</si>
  <si>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</si>
  <si>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</si>
  <si>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</si>
  <si>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</si>
  <si>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</si>
  <si>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</si>
  <si>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</si>
  <si>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</si>
  <si>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</si>
  <si>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</si>
  <si>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</si>
  <si>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</si>
  <si>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</si>
  <si>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</si>
  <si>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</si>
  <si>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</si>
  <si>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</si>
  <si>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</si>
  <si>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</si>
  <si>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</si>
  <si>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</si>
  <si>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</si>
  <si>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</si>
  <si>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</si>
  <si>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</si>
  <si>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</si>
  <si>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</si>
  <si>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</si>
  <si>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</si>
  <si>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</si>
  <si>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</si>
  <si>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</si>
  <si>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</si>
  <si>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PIEDRA, ARENA Y ARCILLA</t>
  </si>
  <si>
    <t xml:space="preserve">Reviso: Cesar Augusto Acuña Reyes- coordinador- Grupo Nacional de Gestión Presupuestal </t>
  </si>
  <si>
    <t>APROP. APLAZADA</t>
  </si>
  <si>
    <t>Elaboro: Martha C. Florez Giraldo - Profes. Univer. Grupo Nacional de Gestión Presupuestal</t>
  </si>
  <si>
    <t>RUBRO</t>
  </si>
  <si>
    <t>Fecha:Octubre 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</si>
</sst>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43" fontId="1" fillId="4" borderId="0" xfId="0" applyNumberFormat="1" applyFont="1" applyFill="1"/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UPUESTO/PRES-2024/INFORMES%20DE%20EJECUCION/ABRIL-30-2024/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7"/>
  <sheetViews>
    <sheetView showGridLines="0" tabSelected="1" zoomScale="115" zoomScaleNormal="115" workbookViewId="0">
      <pane ySplit="2" topLeftCell="A132" activePane="bottomLeft" state="frozen"/>
      <selection pane="bottomLeft" activeCell="A133" sqref="A13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2" t="s">
        <v>248</v>
      </c>
      <c r="B1" s="113"/>
      <c r="C1" s="113"/>
      <c r="D1" s="113"/>
      <c r="E1" s="113"/>
      <c r="F1" s="114"/>
      <c r="G1" s="87" t="s">
        <v>0</v>
      </c>
      <c r="H1" s="87" t="s">
        <v>1</v>
      </c>
      <c r="I1" s="87" t="s">
        <v>2</v>
      </c>
      <c r="J1" s="98" t="s">
        <v>160</v>
      </c>
      <c r="K1" s="98" t="s">
        <v>161</v>
      </c>
      <c r="L1" s="98" t="s">
        <v>162</v>
      </c>
      <c r="M1" s="87" t="s">
        <v>33</v>
      </c>
      <c r="N1" s="87" t="s">
        <v>246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09" t="s">
        <v>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5800000000</v>
      </c>
      <c r="L3" s="104">
        <f t="shared" si="0"/>
        <v>5800000000</v>
      </c>
      <c r="M3" s="104">
        <f>M4+M18+M26</f>
        <v>273375100000</v>
      </c>
      <c r="N3" s="37">
        <f>N4+N18+N26</f>
        <v>0</v>
      </c>
      <c r="O3" s="37">
        <f>O4+O18+O26</f>
        <v>194462438821</v>
      </c>
      <c r="P3" s="104">
        <f>P4+P18+P26</f>
        <v>78912661179</v>
      </c>
      <c r="Q3" s="37">
        <f>Q4+Q18+Q26</f>
        <v>194462438821</v>
      </c>
      <c r="R3" s="38">
        <f t="shared" ref="R3:R34" si="1">IF(Q3&gt;1,Q3/(M3-N3),0)</f>
        <v>0.71133925079862792</v>
      </c>
      <c r="S3" s="37">
        <f>S4+S18+S26</f>
        <v>191460197888</v>
      </c>
      <c r="T3" s="39">
        <f>T4+T18+T26</f>
        <v>191460197888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500000000</v>
      </c>
      <c r="L4" s="24">
        <f t="shared" si="2"/>
        <v>500000000</v>
      </c>
      <c r="M4" s="24">
        <f>SUM(M5:M17)</f>
        <v>185612500000</v>
      </c>
      <c r="N4" s="24">
        <f>SUM(N5:N17)</f>
        <v>0</v>
      </c>
      <c r="O4" s="24">
        <f>SUM(O5:O17)</f>
        <v>131133757749</v>
      </c>
      <c r="P4" s="24">
        <f>SUM(P5:P17)</f>
        <v>54478742251</v>
      </c>
      <c r="Q4" s="24">
        <f>SUM(Q5:Q17)</f>
        <v>131133757749</v>
      </c>
      <c r="R4" s="97">
        <f t="shared" si="1"/>
        <v>0.70649206141288978</v>
      </c>
      <c r="S4" s="14">
        <f>SUM(S5:S17)</f>
        <v>131133757749</v>
      </c>
      <c r="T4" s="33">
        <f>SUM(T5:T17)</f>
        <v>131133757749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105201151335</v>
      </c>
      <c r="P5" s="27">
        <f t="shared" ref="P5:P17" si="3">+M5-O5-N5</f>
        <v>27395393869</v>
      </c>
      <c r="Q5" s="9">
        <v>105201151335</v>
      </c>
      <c r="R5" s="25">
        <f>IF(Q5&gt;1,Q5/(M5-N5),0)</f>
        <v>0.79339285328398157</v>
      </c>
      <c r="S5" s="9">
        <v>105201151335</v>
      </c>
      <c r="T5" s="10">
        <v>105201151335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2063564753</v>
      </c>
      <c r="P6" s="27">
        <f t="shared" si="3"/>
        <v>728650393</v>
      </c>
      <c r="Q6" s="9">
        <v>2063564753</v>
      </c>
      <c r="R6" s="25">
        <f t="shared" si="1"/>
        <v>0.73904217443851661</v>
      </c>
      <c r="S6" s="9">
        <v>2063564753</v>
      </c>
      <c r="T6" s="10">
        <v>2063564753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1049490096</v>
      </c>
      <c r="P7" s="27">
        <f t="shared" si="3"/>
        <v>573862331</v>
      </c>
      <c r="Q7" s="9">
        <v>1049490096</v>
      </c>
      <c r="R7" s="25">
        <f t="shared" si="1"/>
        <v>0.64649553513126323</v>
      </c>
      <c r="S7" s="9">
        <v>1049490096</v>
      </c>
      <c r="T7" s="10">
        <v>1049490096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197007852</v>
      </c>
      <c r="P8" s="27">
        <f t="shared" si="3"/>
        <v>86842521</v>
      </c>
      <c r="Q8" s="9">
        <v>197007852</v>
      </c>
      <c r="R8" s="25">
        <f t="shared" si="1"/>
        <v>0.69405528665625538</v>
      </c>
      <c r="S8" s="9">
        <v>197007852</v>
      </c>
      <c r="T8" s="10">
        <v>197007852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341955000</v>
      </c>
      <c r="P9" s="27">
        <f t="shared" si="3"/>
        <v>132202477</v>
      </c>
      <c r="Q9" s="9">
        <v>341955000</v>
      </c>
      <c r="R9" s="25">
        <f t="shared" si="1"/>
        <v>0.7211844515530017</v>
      </c>
      <c r="S9" s="9">
        <v>341955000</v>
      </c>
      <c r="T9" s="10">
        <v>341955000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6518040038</v>
      </c>
      <c r="P10" s="27">
        <f t="shared" si="3"/>
        <v>277229296</v>
      </c>
      <c r="Q10" s="9">
        <v>6518040038</v>
      </c>
      <c r="R10" s="25">
        <f t="shared" si="1"/>
        <v>0.95920260369770949</v>
      </c>
      <c r="S10" s="9">
        <v>6518040038</v>
      </c>
      <c r="T10" s="10">
        <v>6518040038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3721365025</v>
      </c>
      <c r="P11" s="27">
        <f t="shared" si="3"/>
        <v>780938196</v>
      </c>
      <c r="Q11" s="9">
        <v>3721365025</v>
      </c>
      <c r="R11" s="25">
        <f t="shared" si="1"/>
        <v>0.82654695659823929</v>
      </c>
      <c r="S11" s="9">
        <v>3721365025</v>
      </c>
      <c r="T11" s="10">
        <v>3721365025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763798868</v>
      </c>
      <c r="P12" s="27">
        <f t="shared" si="3"/>
        <v>269250193</v>
      </c>
      <c r="Q12" s="9">
        <v>763798868</v>
      </c>
      <c r="R12" s="25">
        <f t="shared" si="1"/>
        <v>0.73936359543334407</v>
      </c>
      <c r="S12" s="9">
        <v>763798868</v>
      </c>
      <c r="T12" s="10">
        <v>763798868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500000000</v>
      </c>
      <c r="M13" s="27">
        <f t="shared" si="4"/>
        <v>14782670668</v>
      </c>
      <c r="N13" s="9">
        <v>0</v>
      </c>
      <c r="O13" s="9">
        <v>227745448</v>
      </c>
      <c r="P13" s="27">
        <f t="shared" si="3"/>
        <v>14554925220</v>
      </c>
      <c r="Q13" s="9">
        <v>227745448</v>
      </c>
      <c r="R13" s="25">
        <f t="shared" si="1"/>
        <v>1.5406245130861222E-2</v>
      </c>
      <c r="S13" s="9">
        <v>227745448</v>
      </c>
      <c r="T13" s="10">
        <v>227745448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4429974878</v>
      </c>
      <c r="P14" s="27">
        <f t="shared" si="3"/>
        <v>3559258638</v>
      </c>
      <c r="Q14" s="9">
        <v>4429974878</v>
      </c>
      <c r="R14" s="25">
        <f t="shared" si="1"/>
        <v>0.55449310238937322</v>
      </c>
      <c r="S14" s="9">
        <v>4429974878</v>
      </c>
      <c r="T14" s="51">
        <v>4429974878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27411667</v>
      </c>
      <c r="P15" s="27">
        <f t="shared" si="3"/>
        <v>13815811</v>
      </c>
      <c r="Q15" s="9">
        <v>27411667</v>
      </c>
      <c r="R15" s="25">
        <f t="shared" si="1"/>
        <v>0.66488828154853419</v>
      </c>
      <c r="S15" s="9">
        <v>27411667</v>
      </c>
      <c r="T15" s="51">
        <v>27411667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13007935</v>
      </c>
      <c r="P16" s="27">
        <f t="shared" si="3"/>
        <v>4420817</v>
      </c>
      <c r="Q16" s="9">
        <v>13007935</v>
      </c>
      <c r="R16" s="25">
        <f t="shared" si="1"/>
        <v>0.74634919356245355</v>
      </c>
      <c r="S16" s="9">
        <v>13007935</v>
      </c>
      <c r="T16" s="51">
        <v>13007935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6579244854</v>
      </c>
      <c r="P17" s="27">
        <f t="shared" si="3"/>
        <v>6101952489</v>
      </c>
      <c r="Q17" s="9">
        <v>6579244854</v>
      </c>
      <c r="R17" s="25">
        <f t="shared" si="1"/>
        <v>0.51881889982823526</v>
      </c>
      <c r="S17" s="27">
        <v>6579244854</v>
      </c>
      <c r="T17" s="51">
        <v>6579244854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5200000000</v>
      </c>
      <c r="L18" s="24">
        <f t="shared" si="5"/>
        <v>5200000000</v>
      </c>
      <c r="M18" s="24">
        <f>SUM(M19:M25)</f>
        <v>74102900000</v>
      </c>
      <c r="N18" s="14">
        <f>SUM(N19:N32)</f>
        <v>0</v>
      </c>
      <c r="O18" s="14">
        <f>SUM(O19:O25)</f>
        <v>54029437030</v>
      </c>
      <c r="P18" s="24">
        <f>SUM(P19:P25)</f>
        <v>20073462970</v>
      </c>
      <c r="Q18" s="14">
        <f>SUM(Q19:Q25)</f>
        <v>54029437030</v>
      </c>
      <c r="R18" s="26">
        <f t="shared" si="1"/>
        <v>0.72911366532213984</v>
      </c>
      <c r="S18" s="14">
        <f>SUM(S19:S25)</f>
        <v>51027196097</v>
      </c>
      <c r="T18" s="22">
        <f>SUM(T19:T25)</f>
        <v>51027196097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237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15602561400</v>
      </c>
      <c r="P19" s="27">
        <f t="shared" ref="P19:P25" si="6">+M19-O19-N19</f>
        <v>5353138853</v>
      </c>
      <c r="Q19" s="9">
        <v>15602561400</v>
      </c>
      <c r="R19" s="25">
        <f t="shared" si="1"/>
        <v>0.74454975074222829</v>
      </c>
      <c r="S19" s="9">
        <v>15602561400</v>
      </c>
      <c r="T19" s="51">
        <v>15602561400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238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10990605600</v>
      </c>
      <c r="P20" s="27">
        <f t="shared" si="6"/>
        <v>3979003387</v>
      </c>
      <c r="Q20" s="9">
        <v>10990605600</v>
      </c>
      <c r="R20" s="25">
        <f t="shared" si="1"/>
        <v>0.73419456777692249</v>
      </c>
      <c r="S20" s="9">
        <v>10990605600</v>
      </c>
      <c r="T20" s="51">
        <v>10990605600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v>0</v>
      </c>
      <c r="L21" s="27">
        <v>5200000000</v>
      </c>
      <c r="M21" s="27">
        <f t="shared" si="7"/>
        <v>12368434375</v>
      </c>
      <c r="N21" s="9">
        <v>0</v>
      </c>
      <c r="O21" s="9">
        <v>6165278297</v>
      </c>
      <c r="P21" s="27">
        <f t="shared" si="6"/>
        <v>6203156078</v>
      </c>
      <c r="Q21" s="9">
        <v>6165278297</v>
      </c>
      <c r="R21" s="25">
        <f t="shared" si="1"/>
        <v>0.49846877220464697</v>
      </c>
      <c r="S21" s="9">
        <v>6165278297</v>
      </c>
      <c r="T21" s="51">
        <v>6165278297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239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5630558400</v>
      </c>
      <c r="P22" s="27">
        <f t="shared" si="6"/>
        <v>1862308012</v>
      </c>
      <c r="Q22" s="9">
        <v>5630558400</v>
      </c>
      <c r="R22" s="25">
        <f t="shared" si="1"/>
        <v>0.75145586353742133</v>
      </c>
      <c r="S22" s="9">
        <v>5630558400</v>
      </c>
      <c r="T22" s="51">
        <v>5630558400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v>0</v>
      </c>
      <c r="M23" s="27">
        <f t="shared" si="7"/>
        <v>8601416833</v>
      </c>
      <c r="N23" s="9">
        <v>0</v>
      </c>
      <c r="O23" s="9">
        <v>8601416833</v>
      </c>
      <c r="P23" s="27">
        <f t="shared" si="6"/>
        <v>0</v>
      </c>
      <c r="Q23" s="9">
        <v>8601416833</v>
      </c>
      <c r="R23" s="25">
        <f t="shared" si="1"/>
        <v>1</v>
      </c>
      <c r="S23" s="9">
        <v>5599175900</v>
      </c>
      <c r="T23" s="51">
        <v>5599175900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4223243000</v>
      </c>
      <c r="P24" s="27">
        <f t="shared" si="6"/>
        <v>1695416304</v>
      </c>
      <c r="Q24" s="9">
        <v>4223243000</v>
      </c>
      <c r="R24" s="25">
        <f t="shared" si="1"/>
        <v>0.7135472381635164</v>
      </c>
      <c r="S24" s="9">
        <v>4223243000</v>
      </c>
      <c r="T24" s="51">
        <v>4223243000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2815773500</v>
      </c>
      <c r="P25" s="27">
        <f t="shared" si="6"/>
        <v>980440336</v>
      </c>
      <c r="Q25" s="9">
        <v>2815773500</v>
      </c>
      <c r="R25" s="25">
        <f t="shared" si="1"/>
        <v>0.74173205768801687</v>
      </c>
      <c r="S25" s="9">
        <v>2815773500</v>
      </c>
      <c r="T25" s="51">
        <v>2815773500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100000000</v>
      </c>
      <c r="L26" s="24">
        <f t="shared" si="8"/>
        <v>100000000</v>
      </c>
      <c r="M26" s="24">
        <f>M27+M28+M29+M30+M31+M32</f>
        <v>13659700000</v>
      </c>
      <c r="N26" s="14">
        <v>0</v>
      </c>
      <c r="O26" s="14">
        <f>O27+O28+O29+O30+O31+O32</f>
        <v>9299244042</v>
      </c>
      <c r="P26" s="24">
        <f>P27+P28+P29+P30+P31+P32</f>
        <v>4360455958</v>
      </c>
      <c r="Q26" s="14">
        <f>Q27+Q28+Q29+Q30+Q31+Q32</f>
        <v>9299244042</v>
      </c>
      <c r="R26" s="26">
        <f t="shared" si="1"/>
        <v>0.68077952239068207</v>
      </c>
      <c r="S26" s="24">
        <f>S27+S28+S29+S30+S31+S32</f>
        <v>9299244042</v>
      </c>
      <c r="T26" s="22">
        <f>T27+T28+T29+T30+T31+T32</f>
        <v>9299244042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144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100000000</v>
      </c>
      <c r="M27" s="27">
        <f>J27+K27-L27</f>
        <v>10777487708</v>
      </c>
      <c r="N27" s="9">
        <v>0</v>
      </c>
      <c r="O27" s="9">
        <v>7022403148</v>
      </c>
      <c r="P27" s="27">
        <f t="shared" ref="P27:P32" si="9">+M27-O27-N27</f>
        <v>3755084560</v>
      </c>
      <c r="Q27" s="9">
        <v>7022403148</v>
      </c>
      <c r="R27" s="25">
        <f t="shared" si="1"/>
        <v>0.65158071512225935</v>
      </c>
      <c r="S27" s="9">
        <v>7022403148</v>
      </c>
      <c r="T27" s="51">
        <v>7022403148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v>100000000</v>
      </c>
      <c r="L28" s="27">
        <v>0</v>
      </c>
      <c r="M28" s="27">
        <f t="shared" ref="M28:M32" si="10">J28+K28-L28</f>
        <v>461988938</v>
      </c>
      <c r="N28" s="9">
        <v>0</v>
      </c>
      <c r="O28" s="9">
        <v>401075899</v>
      </c>
      <c r="P28" s="27">
        <f t="shared" si="9"/>
        <v>60913039</v>
      </c>
      <c r="Q28" s="9">
        <v>401075899</v>
      </c>
      <c r="R28" s="25">
        <f t="shared" si="1"/>
        <v>0.86815043826871885</v>
      </c>
      <c r="S28" s="9">
        <v>401075899</v>
      </c>
      <c r="T28" s="51">
        <v>401075899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507414626</v>
      </c>
      <c r="P29" s="27">
        <f t="shared" si="9"/>
        <v>202838350</v>
      </c>
      <c r="Q29" s="9">
        <v>507414626</v>
      </c>
      <c r="R29" s="25">
        <f t="shared" si="1"/>
        <v>0.7144139386189633</v>
      </c>
      <c r="S29" s="9">
        <v>507414626</v>
      </c>
      <c r="T29" s="51">
        <v>507414626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324526155</v>
      </c>
      <c r="P30" s="27">
        <f t="shared" si="9"/>
        <v>97291340</v>
      </c>
      <c r="Q30" s="9">
        <v>324526155</v>
      </c>
      <c r="R30" s="25">
        <f t="shared" si="1"/>
        <v>0.76935205117559191</v>
      </c>
      <c r="S30" s="9">
        <v>324526155</v>
      </c>
      <c r="T30" s="51">
        <v>324526155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999510394</v>
      </c>
      <c r="P31" s="27">
        <f t="shared" si="9"/>
        <v>200598342</v>
      </c>
      <c r="Q31" s="9">
        <v>999510394</v>
      </c>
      <c r="R31" s="25">
        <f t="shared" si="1"/>
        <v>0.83284986103125913</v>
      </c>
      <c r="S31" s="9">
        <v>999510394</v>
      </c>
      <c r="T31" s="51">
        <v>999510394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44313820</v>
      </c>
      <c r="P32" s="27">
        <f t="shared" si="9"/>
        <v>43730327</v>
      </c>
      <c r="Q32" s="9">
        <v>44313820</v>
      </c>
      <c r="R32" s="25">
        <f t="shared" si="1"/>
        <v>0.50331363878168978</v>
      </c>
      <c r="S32" s="9">
        <v>44313820</v>
      </c>
      <c r="T32" s="51">
        <v>44313820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5800000000</v>
      </c>
      <c r="L33" s="64">
        <f t="shared" si="11"/>
        <v>5800000000</v>
      </c>
      <c r="M33" s="64">
        <f>M3</f>
        <v>273375100000</v>
      </c>
      <c r="N33" s="64">
        <f>N3</f>
        <v>0</v>
      </c>
      <c r="O33" s="64">
        <f>O3</f>
        <v>194462438821</v>
      </c>
      <c r="P33" s="64">
        <f>P3</f>
        <v>78912661179</v>
      </c>
      <c r="Q33" s="64">
        <f>Q3</f>
        <v>194462438821</v>
      </c>
      <c r="R33" s="76">
        <f>IF(Q33&gt;1,Q33/(M33-N33),0)</f>
        <v>0.71133925079862792</v>
      </c>
      <c r="S33" s="64">
        <f>S3</f>
        <v>191460197888</v>
      </c>
      <c r="T33" s="73">
        <f>T3</f>
        <v>191460197888</v>
      </c>
      <c r="U33" s="106"/>
    </row>
    <row r="34" spans="1:21" ht="15" customHeight="1" thickBot="1" x14ac:dyDescent="0.3">
      <c r="A34" s="121" t="s">
        <v>25</v>
      </c>
      <c r="B34" s="122"/>
      <c r="C34" s="122"/>
      <c r="D34" s="122"/>
      <c r="E34" s="122"/>
      <c r="F34" s="122"/>
      <c r="G34" s="122"/>
      <c r="H34" s="122"/>
      <c r="I34" s="123"/>
      <c r="J34" s="77">
        <f>J33</f>
        <v>273375100000</v>
      </c>
      <c r="K34" s="77">
        <f t="shared" ref="K34:L34" si="12">K33</f>
        <v>5800000000</v>
      </c>
      <c r="L34" s="77">
        <f t="shared" si="12"/>
        <v>5800000000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194462438821</v>
      </c>
      <c r="P34" s="77">
        <f t="shared" si="13"/>
        <v>78912661179</v>
      </c>
      <c r="Q34" s="77">
        <f t="shared" si="13"/>
        <v>194462438821</v>
      </c>
      <c r="R34" s="76">
        <f t="shared" si="1"/>
        <v>0.71133925079862792</v>
      </c>
      <c r="S34" s="77">
        <f t="shared" si="13"/>
        <v>191460197888</v>
      </c>
      <c r="T34" s="78">
        <f t="shared" si="13"/>
        <v>191460197888</v>
      </c>
    </row>
    <row r="35" spans="1:21" ht="15.75" customHeight="1" thickBot="1" x14ac:dyDescent="0.3">
      <c r="A35" s="115" t="s">
        <v>107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7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1118985093</v>
      </c>
      <c r="L36" s="48">
        <f t="shared" si="14"/>
        <v>548393095</v>
      </c>
      <c r="M36" s="48">
        <f t="shared" si="14"/>
        <v>2080227369</v>
      </c>
      <c r="N36" s="48">
        <f t="shared" si="14"/>
        <v>66800000</v>
      </c>
      <c r="O36" s="48">
        <f t="shared" si="14"/>
        <v>1277443146</v>
      </c>
      <c r="P36" s="48">
        <f t="shared" si="14"/>
        <v>735984223</v>
      </c>
      <c r="Q36" s="48">
        <f t="shared" si="14"/>
        <v>105904131</v>
      </c>
      <c r="R36" s="62">
        <f t="shared" ref="R36:R78" si="15">IF(Q36&gt;1,Q36/(M36-N36),0)</f>
        <v>5.2598932859743E-2</v>
      </c>
      <c r="S36" s="48">
        <f>S37+S38+S39+S40+S42+S41+S43</f>
        <v>59378879</v>
      </c>
      <c r="T36" s="48">
        <f>T37+T38+T39+T40+T42+T41+T43</f>
        <v>59378879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146</v>
      </c>
      <c r="H37" s="7" t="s">
        <v>5</v>
      </c>
      <c r="I37" s="8">
        <v>10</v>
      </c>
      <c r="J37" s="44">
        <v>27595412</v>
      </c>
      <c r="K37" s="44">
        <f>26221172+4647724+58000000+58000000+56028932+63459820</f>
        <v>266357648</v>
      </c>
      <c r="L37" s="44">
        <f>1184912+1000000+23255144</f>
        <v>25440056</v>
      </c>
      <c r="M37" s="44">
        <f>J37+K37-L37</f>
        <v>268513004</v>
      </c>
      <c r="N37" s="44"/>
      <c r="O37" s="44">
        <v>145766358</v>
      </c>
      <c r="P37" s="27">
        <f t="shared" ref="P37:P43" si="16">+M37-O37-N37</f>
        <v>122746646</v>
      </c>
      <c r="Q37" s="27">
        <v>56270302</v>
      </c>
      <c r="R37" s="69">
        <f>IF(Q37&gt;1,Q37/(M37-N37),0)</f>
        <v>0.20956266982138413</v>
      </c>
      <c r="S37" s="44">
        <v>26410500</v>
      </c>
      <c r="T37" s="70">
        <v>26410500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44">
        <f>90578039+1432671+82000000+43000000</f>
        <v>217010710</v>
      </c>
      <c r="L38" s="44">
        <f>2380000+7343039</f>
        <v>9723039</v>
      </c>
      <c r="M38" s="44">
        <f t="shared" ref="M38:M43" si="17">J38+K38-L38</f>
        <v>226787671</v>
      </c>
      <c r="N38" s="44"/>
      <c r="O38" s="44">
        <v>226527000</v>
      </c>
      <c r="P38" s="27">
        <f t="shared" si="16"/>
        <v>260671</v>
      </c>
      <c r="Q38" s="27">
        <v>22824000</v>
      </c>
      <c r="R38" s="69">
        <f t="shared" si="15"/>
        <v>0.10064039151405192</v>
      </c>
      <c r="S38" s="44">
        <v>19652000</v>
      </c>
      <c r="T38" s="70">
        <v>19652000</v>
      </c>
      <c r="U38" s="106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44">
        <v>18000000</v>
      </c>
      <c r="L39" s="44">
        <f>10000</f>
        <v>10000</v>
      </c>
      <c r="M39" s="44">
        <f t="shared" si="17"/>
        <v>32990000</v>
      </c>
      <c r="N39" s="44"/>
      <c r="O39" s="44">
        <v>32500000</v>
      </c>
      <c r="P39" s="27">
        <f t="shared" si="16"/>
        <v>490000</v>
      </c>
      <c r="Q39" s="27">
        <v>14500000</v>
      </c>
      <c r="R39" s="69">
        <f t="shared" si="15"/>
        <v>0.43952712943316158</v>
      </c>
      <c r="S39" s="44">
        <v>3648000</v>
      </c>
      <c r="T39" s="70">
        <v>3648000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126</v>
      </c>
      <c r="H40" s="7" t="s">
        <v>5</v>
      </c>
      <c r="I40" s="8">
        <v>10</v>
      </c>
      <c r="J40" s="44">
        <v>1435539959</v>
      </c>
      <c r="K40" s="44">
        <f>611696735</f>
        <v>611696735</v>
      </c>
      <c r="L40" s="44">
        <f>150193000+325050000+37957000</f>
        <v>513200000</v>
      </c>
      <c r="M40" s="44">
        <f>J40+K40-L40</f>
        <v>1534036694</v>
      </c>
      <c r="N40" s="44">
        <v>66800000</v>
      </c>
      <c r="O40" s="44">
        <v>855539959</v>
      </c>
      <c r="P40" s="27">
        <f>+M40-O40-N40</f>
        <v>611696735</v>
      </c>
      <c r="Q40" s="27">
        <v>0</v>
      </c>
      <c r="R40" s="69">
        <f t="shared" si="15"/>
        <v>0</v>
      </c>
      <c r="S40" s="44">
        <v>0</v>
      </c>
      <c r="T40" s="70">
        <v>0</v>
      </c>
      <c r="U40" s="106"/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42</v>
      </c>
      <c r="G41" s="23" t="s">
        <v>127</v>
      </c>
      <c r="H41" s="7" t="s">
        <v>5</v>
      </c>
      <c r="I41" s="8">
        <v>10</v>
      </c>
      <c r="J41" s="44"/>
      <c r="K41" s="44">
        <v>4800000</v>
      </c>
      <c r="L41" s="44"/>
      <c r="M41" s="44">
        <f t="shared" si="17"/>
        <v>4800000</v>
      </c>
      <c r="N41" s="44"/>
      <c r="O41" s="44">
        <v>4800000</v>
      </c>
      <c r="P41" s="27">
        <f t="shared" si="16"/>
        <v>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128</v>
      </c>
      <c r="H42" s="7" t="s">
        <v>5</v>
      </c>
      <c r="I42" s="8">
        <v>10</v>
      </c>
      <c r="J42" s="44">
        <v>10000000</v>
      </c>
      <c r="K42" s="44">
        <v>0</v>
      </c>
      <c r="L42" s="44">
        <v>0</v>
      </c>
      <c r="M42" s="44">
        <f t="shared" si="17"/>
        <v>10000000</v>
      </c>
      <c r="N42" s="44"/>
      <c r="O42" s="44">
        <v>9668379</v>
      </c>
      <c r="P42" s="27">
        <f t="shared" si="16"/>
        <v>331621</v>
      </c>
      <c r="Q42" s="27">
        <v>9668379</v>
      </c>
      <c r="R42" s="69">
        <f t="shared" si="15"/>
        <v>0.96683790000000003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148</v>
      </c>
      <c r="H43" s="7" t="s">
        <v>5</v>
      </c>
      <c r="I43" s="8">
        <v>10</v>
      </c>
      <c r="J43" s="44">
        <v>2000000</v>
      </c>
      <c r="K43" s="44">
        <v>1120000</v>
      </c>
      <c r="L43" s="44">
        <v>20000</v>
      </c>
      <c r="M43" s="44">
        <f t="shared" si="17"/>
        <v>3100000</v>
      </c>
      <c r="N43" s="44"/>
      <c r="O43" s="44">
        <v>2641450</v>
      </c>
      <c r="P43" s="27">
        <f t="shared" si="16"/>
        <v>458550</v>
      </c>
      <c r="Q43" s="27">
        <v>2641450</v>
      </c>
      <c r="R43" s="69">
        <f t="shared" si="15"/>
        <v>0.85208064516129034</v>
      </c>
      <c r="S43" s="44">
        <v>0</v>
      </c>
      <c r="T43" s="70">
        <v>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 t="shared" ref="J44:Q44" si="18">J47+J48+J49+J51+J52+J53+J54+J55+J56+J57+J58+J59+J60+J61+J64+J65+J66+J67+J68+J69+J70+J72+J73+J76+J77+J78+J79+J80+J81+J82+J83+J84+J85+J86+J87+J50+J62+J63+J71</f>
        <v>40216964629</v>
      </c>
      <c r="K44" s="48">
        <f t="shared" si="18"/>
        <v>4006050057.6700006</v>
      </c>
      <c r="L44" s="48">
        <f t="shared" si="18"/>
        <v>4576642055.6700001</v>
      </c>
      <c r="M44" s="48">
        <f t="shared" si="18"/>
        <v>39646372631</v>
      </c>
      <c r="N44" s="48">
        <f t="shared" si="18"/>
        <v>3284400000</v>
      </c>
      <c r="O44" s="48">
        <f t="shared" si="18"/>
        <v>34377979847.330002</v>
      </c>
      <c r="P44" s="48">
        <f t="shared" si="18"/>
        <v>1983992783.6700003</v>
      </c>
      <c r="Q44" s="48">
        <f t="shared" si="18"/>
        <v>32261238930.759998</v>
      </c>
      <c r="R44" s="62">
        <f t="shared" si="15"/>
        <v>0.88722466347318119</v>
      </c>
      <c r="S44" s="24">
        <f>S47+S48+S49+S50+S51+S52+S53+S54+S55+S56+S57+S58+S59+S60+S61+S64+S65+S66+S67+S68+S69+S70+S72+S73+S76+S77+S78+S79+S80+S81+S82+S83+S84+S85+S86+S87+S62+S63</f>
        <v>22490332304.889996</v>
      </c>
      <c r="T44" s="24">
        <f>T47+T48+T49+T50+T51+T52+T53+T54+T55+T56+T57+T58+T59+T60+T61+T64+T65+T66+T67+T68+T69+T70+T72+T73+T76+T77+T78+T79+T80+T81+T82+T83+T84+T85+T86+T87+T62+T63</f>
        <v>22478174261.27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J74</f>
        <v>786000000</v>
      </c>
      <c r="K45" s="48">
        <f t="shared" ref="K45:L45" si="19">K74</f>
        <v>0</v>
      </c>
      <c r="L45" s="48">
        <f t="shared" si="19"/>
        <v>0</v>
      </c>
      <c r="M45" s="48">
        <f>M74</f>
        <v>786000000</v>
      </c>
      <c r="N45" s="48">
        <f t="shared" ref="N45:Q46" si="20">N74</f>
        <v>0</v>
      </c>
      <c r="O45" s="48">
        <f t="shared" si="20"/>
        <v>459228762</v>
      </c>
      <c r="P45" s="24">
        <f t="shared" si="20"/>
        <v>326771238</v>
      </c>
      <c r="Q45" s="24">
        <f t="shared" si="20"/>
        <v>459228762</v>
      </c>
      <c r="R45" s="62">
        <f t="shared" si="15"/>
        <v>0.58426051145038171</v>
      </c>
      <c r="S45" s="48">
        <f>S74</f>
        <v>459228762</v>
      </c>
      <c r="T45" s="68">
        <f>T74</f>
        <v>459228762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J75</f>
        <v>391600000</v>
      </c>
      <c r="K46" s="48">
        <f t="shared" ref="K46:L46" si="21">K75</f>
        <v>0</v>
      </c>
      <c r="L46" s="48">
        <f t="shared" si="21"/>
        <v>0</v>
      </c>
      <c r="M46" s="48">
        <f>M75</f>
        <v>391600000</v>
      </c>
      <c r="N46" s="48">
        <f t="shared" si="20"/>
        <v>0</v>
      </c>
      <c r="O46" s="48">
        <f>O75</f>
        <v>391600000</v>
      </c>
      <c r="P46" s="24">
        <f>P75</f>
        <v>0</v>
      </c>
      <c r="Q46" s="24">
        <f>Q75</f>
        <v>391600000</v>
      </c>
      <c r="R46" s="62">
        <f t="shared" si="15"/>
        <v>1</v>
      </c>
      <c r="S46" s="48">
        <f>S75</f>
        <v>391600000</v>
      </c>
      <c r="T46" s="68">
        <f>T75</f>
        <v>391600000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244</v>
      </c>
      <c r="H47" s="7" t="s">
        <v>5</v>
      </c>
      <c r="I47" s="8">
        <v>10</v>
      </c>
      <c r="J47" s="48"/>
      <c r="K47" s="44">
        <v>700000</v>
      </c>
      <c r="L47" s="44"/>
      <c r="M47" s="44">
        <f>J47+K47-L47</f>
        <v>700000</v>
      </c>
      <c r="N47" s="48">
        <v>0</v>
      </c>
      <c r="O47" s="44">
        <v>700000</v>
      </c>
      <c r="P47" s="24">
        <f t="shared" ref="P47:P87" si="22">+M47-O47-N47</f>
        <v>0</v>
      </c>
      <c r="Q47" s="24">
        <v>0</v>
      </c>
      <c r="R47" s="62">
        <v>0</v>
      </c>
      <c r="S47" s="48">
        <v>0</v>
      </c>
      <c r="T47" s="68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114</v>
      </c>
      <c r="H48" s="7" t="s">
        <v>5</v>
      </c>
      <c r="I48" s="8">
        <v>10</v>
      </c>
      <c r="J48" s="44">
        <v>6000000</v>
      </c>
      <c r="K48" s="44">
        <v>0</v>
      </c>
      <c r="L48" s="44">
        <v>0</v>
      </c>
      <c r="M48" s="44">
        <f>J48+K48-L48</f>
        <v>6000000</v>
      </c>
      <c r="N48" s="44">
        <v>0</v>
      </c>
      <c r="O48" s="44">
        <v>6000000</v>
      </c>
      <c r="P48" s="27">
        <f t="shared" si="22"/>
        <v>0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43</v>
      </c>
      <c r="G49" s="23" t="s">
        <v>147</v>
      </c>
      <c r="H49" s="7" t="s">
        <v>5</v>
      </c>
      <c r="I49" s="8">
        <v>10</v>
      </c>
      <c r="J49" s="44">
        <v>1200000</v>
      </c>
      <c r="K49" s="44">
        <v>0</v>
      </c>
      <c r="L49" s="44">
        <v>0</v>
      </c>
      <c r="M49" s="44">
        <f t="shared" ref="M49:M87" si="23">J49+K49-L49</f>
        <v>1200000</v>
      </c>
      <c r="N49" s="44">
        <v>0</v>
      </c>
      <c r="O49" s="44">
        <v>1200000</v>
      </c>
      <c r="P49" s="27">
        <f t="shared" si="22"/>
        <v>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243</v>
      </c>
      <c r="H50" s="7" t="s">
        <v>5</v>
      </c>
      <c r="I50" s="8">
        <v>10</v>
      </c>
      <c r="J50" s="44">
        <v>0</v>
      </c>
      <c r="K50" s="44">
        <f>35000000+48650+1000000+4132771</f>
        <v>40181421</v>
      </c>
      <c r="L50" s="44">
        <f>33635000+15000+350</f>
        <v>33650350</v>
      </c>
      <c r="M50" s="44">
        <f t="shared" ref="M50" si="24">J50+K50-L50</f>
        <v>6531071</v>
      </c>
      <c r="N50" s="44">
        <v>0</v>
      </c>
      <c r="O50" s="44">
        <v>6277051</v>
      </c>
      <c r="P50" s="27">
        <f>+M50-O50-N50</f>
        <v>254020</v>
      </c>
      <c r="Q50" s="9">
        <v>2145620</v>
      </c>
      <c r="R50" s="25">
        <f t="shared" ref="R50" si="25">IF(Q50&gt;1,Q50/(M50-N50),0)</f>
        <v>0.32852498464646918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115</v>
      </c>
      <c r="H51" s="7" t="s">
        <v>5</v>
      </c>
      <c r="I51" s="8" t="s">
        <v>6</v>
      </c>
      <c r="J51" s="44">
        <v>498366950</v>
      </c>
      <c r="K51" s="44">
        <f>7172000+16609104+13737919.66+139837.17+70074948+25260000+58406476+20176796</f>
        <v>211577080.82999998</v>
      </c>
      <c r="L51" s="44">
        <f>1500000+652600+3888306+175786+182000+4112000+8675383.18</f>
        <v>19186075.18</v>
      </c>
      <c r="M51" s="44">
        <f t="shared" si="23"/>
        <v>690757955.64999998</v>
      </c>
      <c r="N51" s="9">
        <v>0</v>
      </c>
      <c r="O51" s="44">
        <v>678629784.65999997</v>
      </c>
      <c r="P51" s="27">
        <f>+M51-O51-N51</f>
        <v>12128170.99000001</v>
      </c>
      <c r="Q51" s="9">
        <v>514336010.66000003</v>
      </c>
      <c r="R51" s="25">
        <f t="shared" si="15"/>
        <v>0.74459657895074438</v>
      </c>
      <c r="S51" s="9">
        <v>187463506.94999999</v>
      </c>
      <c r="T51" s="10">
        <v>187463506.94999999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116</v>
      </c>
      <c r="H52" s="7" t="s">
        <v>5</v>
      </c>
      <c r="I52" s="8" t="s">
        <v>6</v>
      </c>
      <c r="J52" s="44">
        <v>510003</v>
      </c>
      <c r="K52" s="44">
        <f>813997+2500000+5614250</f>
        <v>8928247</v>
      </c>
      <c r="L52" s="44"/>
      <c r="M52" s="44">
        <f t="shared" si="23"/>
        <v>9438250</v>
      </c>
      <c r="N52" s="9">
        <v>0</v>
      </c>
      <c r="O52" s="44">
        <v>9438250</v>
      </c>
      <c r="P52" s="27">
        <f t="shared" si="22"/>
        <v>0</v>
      </c>
      <c r="Q52" s="9">
        <v>1164000</v>
      </c>
      <c r="R52" s="25">
        <f t="shared" si="15"/>
        <v>0.12332794744788493</v>
      </c>
      <c r="S52" s="9">
        <v>1164000</v>
      </c>
      <c r="T52" s="10">
        <v>1164000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117</v>
      </c>
      <c r="H53" s="7" t="s">
        <v>5</v>
      </c>
      <c r="I53" s="8">
        <v>10</v>
      </c>
      <c r="J53" s="44">
        <v>252146927</v>
      </c>
      <c r="K53" s="44">
        <f>45000000+19701540+4684912+500000+16853132+79058150+3013420+5316744+6737040+4267912+10641300</f>
        <v>195774150</v>
      </c>
      <c r="L53" s="44">
        <f>8670725.17+3268282+13000000+39684912+13656217+595923+3918+7338+28960+15000000</f>
        <v>93916275.170000002</v>
      </c>
      <c r="M53" s="44">
        <f t="shared" si="23"/>
        <v>354004801.82999998</v>
      </c>
      <c r="N53" s="27">
        <v>0</v>
      </c>
      <c r="O53" s="44">
        <v>308926441</v>
      </c>
      <c r="P53" s="27">
        <f t="shared" si="22"/>
        <v>45078360.829999983</v>
      </c>
      <c r="Q53" s="9">
        <v>271689401</v>
      </c>
      <c r="R53" s="25">
        <f t="shared" si="15"/>
        <v>0.76747377322432631</v>
      </c>
      <c r="S53" s="9">
        <v>88712990</v>
      </c>
      <c r="T53" s="10">
        <v>88712990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118</v>
      </c>
      <c r="H54" s="7" t="s">
        <v>5</v>
      </c>
      <c r="I54" s="8" t="s">
        <v>6</v>
      </c>
      <c r="J54" s="44">
        <v>295308239</v>
      </c>
      <c r="K54" s="44">
        <f>10000+20280+500000+4500000+9020000+6000000+3000000</f>
        <v>23050280</v>
      </c>
      <c r="L54" s="44">
        <f>159356+7000000+151800+3119344+5280</f>
        <v>10435780</v>
      </c>
      <c r="M54" s="44">
        <f t="shared" si="23"/>
        <v>307922739</v>
      </c>
      <c r="N54" s="27">
        <v>0</v>
      </c>
      <c r="O54" s="44">
        <v>254246633</v>
      </c>
      <c r="P54" s="27">
        <f t="shared" si="22"/>
        <v>53676106</v>
      </c>
      <c r="Q54" s="9">
        <v>249746633</v>
      </c>
      <c r="R54" s="25">
        <f t="shared" si="15"/>
        <v>0.81106914614707948</v>
      </c>
      <c r="S54" s="9">
        <v>149986707.19999999</v>
      </c>
      <c r="T54" s="10">
        <v>149986707.19999999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119</v>
      </c>
      <c r="H55" s="7" t="s">
        <v>5</v>
      </c>
      <c r="I55" s="8" t="s">
        <v>6</v>
      </c>
      <c r="J55" s="44">
        <v>292736000</v>
      </c>
      <c r="K55" s="44">
        <f>10875072+28248774+43200000+25000000+2000000+360870+430000</f>
        <v>110114716</v>
      </c>
      <c r="L55" s="44">
        <f>1431502+4008000+79942+14228000</f>
        <v>19747444</v>
      </c>
      <c r="M55" s="44">
        <f t="shared" si="23"/>
        <v>383103272</v>
      </c>
      <c r="N55" s="27">
        <v>0</v>
      </c>
      <c r="O55" s="44">
        <v>373064471</v>
      </c>
      <c r="P55" s="27">
        <f t="shared" si="22"/>
        <v>10038801</v>
      </c>
      <c r="Q55" s="9">
        <v>360703601</v>
      </c>
      <c r="R55" s="25">
        <f t="shared" si="15"/>
        <v>0.9415309848880643</v>
      </c>
      <c r="S55" s="9">
        <v>52374049.020000003</v>
      </c>
      <c r="T55" s="10">
        <v>52374049.020000003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120</v>
      </c>
      <c r="H56" s="7" t="s">
        <v>5</v>
      </c>
      <c r="I56" s="8" t="s">
        <v>6</v>
      </c>
      <c r="J56" s="44">
        <v>41218942</v>
      </c>
      <c r="K56" s="44">
        <f>700000+133752+1468203+3000000+1425000+1365964+392500+312465+57330+152010+15140000+3104113</f>
        <v>27251337</v>
      </c>
      <c r="L56" s="44">
        <f>25000000+104804+27152+1100000+1215+435203</f>
        <v>26668374</v>
      </c>
      <c r="M56" s="44">
        <f t="shared" si="23"/>
        <v>41801905</v>
      </c>
      <c r="N56" s="27">
        <v>0</v>
      </c>
      <c r="O56" s="44">
        <v>31678909</v>
      </c>
      <c r="P56" s="27">
        <f t="shared" si="22"/>
        <v>10122996</v>
      </c>
      <c r="Q56" s="9">
        <v>18757948</v>
      </c>
      <c r="R56" s="25">
        <f t="shared" si="15"/>
        <v>0.4487342861527483</v>
      </c>
      <c r="S56" s="9">
        <v>3242398</v>
      </c>
      <c r="T56" s="10">
        <v>3242398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121</v>
      </c>
      <c r="H57" s="7" t="s">
        <v>5</v>
      </c>
      <c r="I57" s="8" t="s">
        <v>6</v>
      </c>
      <c r="J57" s="44">
        <f>561355666</f>
        <v>561355666</v>
      </c>
      <c r="K57" s="44">
        <f>6122008+1863580+200000000+6759617+200000000+2539390+23208750+39684912+5830000+22910883+1500000+3297380+9408100+34802500+815718+3693886+321568+25000000+3200000+3026014+35000000+33012360+520000+165413214+147992000+3353811+32660960+30952095</f>
        <v>1042888746</v>
      </c>
      <c r="L57" s="44">
        <f>8575000+40000000+18060344+1830672+2052970+17134875+430000+1044947+9200000</f>
        <v>98328808</v>
      </c>
      <c r="M57" s="44">
        <f t="shared" si="23"/>
        <v>1505915604</v>
      </c>
      <c r="N57" s="9">
        <v>0</v>
      </c>
      <c r="O57" s="44">
        <v>1450678006</v>
      </c>
      <c r="P57" s="27">
        <f t="shared" si="22"/>
        <v>55237598</v>
      </c>
      <c r="Q57" s="9">
        <v>1084892600</v>
      </c>
      <c r="R57" s="25">
        <f t="shared" si="15"/>
        <v>0.7204205847381604</v>
      </c>
      <c r="S57" s="9">
        <v>50521990</v>
      </c>
      <c r="T57" s="10">
        <v>50521990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122</v>
      </c>
      <c r="H58" s="7" t="s">
        <v>5</v>
      </c>
      <c r="I58" s="63" t="s">
        <v>6</v>
      </c>
      <c r="J58" s="44">
        <v>6500000</v>
      </c>
      <c r="K58" s="44">
        <f>1500000+17312572+500000</f>
        <v>19312572</v>
      </c>
      <c r="L58" s="44">
        <f>2298200+1900000+2369172</f>
        <v>6567372</v>
      </c>
      <c r="M58" s="44">
        <f>J58+K58-L58</f>
        <v>19245200</v>
      </c>
      <c r="N58" s="9">
        <v>0</v>
      </c>
      <c r="O58" s="44">
        <v>19245200</v>
      </c>
      <c r="P58" s="27">
        <f t="shared" si="22"/>
        <v>0</v>
      </c>
      <c r="Q58" s="9">
        <v>18745200</v>
      </c>
      <c r="R58" s="25">
        <f t="shared" si="15"/>
        <v>0.97401949577037394</v>
      </c>
      <c r="S58" s="9">
        <v>3100000</v>
      </c>
      <c r="T58" s="10">
        <v>3100000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123</v>
      </c>
      <c r="H59" s="7" t="s">
        <v>5</v>
      </c>
      <c r="I59" s="8" t="s">
        <v>6</v>
      </c>
      <c r="J59" s="44">
        <v>160736353</v>
      </c>
      <c r="K59" s="44">
        <f>1197350+402886+1000000+4247025+1905705+234540+5443212+1562652+63459820+1068664+24114</f>
        <v>80545968</v>
      </c>
      <c r="L59" s="44">
        <f>120469050+751297+2956730+63459820+29530950</f>
        <v>217167847</v>
      </c>
      <c r="M59" s="44">
        <f>J59+K59-L59</f>
        <v>24114474</v>
      </c>
      <c r="N59" s="9">
        <v>0</v>
      </c>
      <c r="O59" s="44">
        <v>15981033</v>
      </c>
      <c r="P59" s="27">
        <f>+M59-O59-N59</f>
        <v>8133441</v>
      </c>
      <c r="Q59" s="9">
        <v>6006551</v>
      </c>
      <c r="R59" s="25">
        <f t="shared" si="15"/>
        <v>0.24908488569976686</v>
      </c>
      <c r="S59" s="9">
        <v>2439306</v>
      </c>
      <c r="T59" s="10">
        <v>2439306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124</v>
      </c>
      <c r="H60" s="7" t="s">
        <v>5</v>
      </c>
      <c r="I60" s="8" t="s">
        <v>6</v>
      </c>
      <c r="J60" s="44">
        <v>3500000</v>
      </c>
      <c r="K60" s="44">
        <v>500000</v>
      </c>
      <c r="L60" s="44"/>
      <c r="M60" s="44">
        <f t="shared" si="23"/>
        <v>4000000</v>
      </c>
      <c r="N60" s="9">
        <v>0</v>
      </c>
      <c r="O60" s="44">
        <v>4000000</v>
      </c>
      <c r="P60" s="27">
        <f t="shared" si="22"/>
        <v>0</v>
      </c>
      <c r="Q60" s="9">
        <v>3500000</v>
      </c>
      <c r="R60" s="25">
        <f>IF(Q60&gt;1,Q60/(M60-N60),0)</f>
        <v>0.875</v>
      </c>
      <c r="S60" s="9">
        <v>0</v>
      </c>
      <c r="T60" s="10">
        <v>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125</v>
      </c>
      <c r="H61" s="7" t="s">
        <v>5</v>
      </c>
      <c r="I61" s="8" t="s">
        <v>6</v>
      </c>
      <c r="J61" s="44">
        <v>64604261</v>
      </c>
      <c r="K61" s="44">
        <f>2300000+73600+6848606+2664780+5000000+3500000+10140355+12000000+5851720+377884+3174913+3840769</f>
        <v>55772627</v>
      </c>
      <c r="L61" s="44">
        <f>15000000+28964740+481471+8000000</f>
        <v>52446211</v>
      </c>
      <c r="M61" s="44">
        <f t="shared" si="23"/>
        <v>67930677</v>
      </c>
      <c r="N61" s="9">
        <v>0</v>
      </c>
      <c r="O61" s="44">
        <v>64831748</v>
      </c>
      <c r="P61" s="27">
        <f t="shared" si="22"/>
        <v>3098929</v>
      </c>
      <c r="Q61" s="9">
        <v>39258279</v>
      </c>
      <c r="R61" s="25">
        <f t="shared" si="15"/>
        <v>0.57791679302710319</v>
      </c>
      <c r="S61" s="9">
        <v>6697951</v>
      </c>
      <c r="T61" s="10">
        <v>6697951</v>
      </c>
    </row>
    <row r="62" spans="1:20" s="6" customFormat="1" ht="16.5" x14ac:dyDescent="0.25">
      <c r="A62" s="91"/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112</v>
      </c>
      <c r="H62" s="7" t="s">
        <v>5</v>
      </c>
      <c r="I62" s="8" t="s">
        <v>6</v>
      </c>
      <c r="J62" s="44"/>
      <c r="K62" s="44">
        <f>520981+1000000</f>
        <v>1520981</v>
      </c>
      <c r="L62" s="44"/>
      <c r="M62" s="44">
        <f t="shared" si="23"/>
        <v>1520981</v>
      </c>
      <c r="N62" s="9"/>
      <c r="O62" s="44">
        <v>1280000</v>
      </c>
      <c r="P62" s="27">
        <f>+M62-O62-N62</f>
        <v>240981</v>
      </c>
      <c r="Q62" s="9">
        <v>280000</v>
      </c>
      <c r="R62" s="25">
        <f t="shared" si="15"/>
        <v>0.18409171449216</v>
      </c>
      <c r="S62" s="9">
        <v>0</v>
      </c>
      <c r="T62" s="10">
        <v>0</v>
      </c>
    </row>
    <row r="63" spans="1:20" s="6" customFormat="1" ht="16.5" x14ac:dyDescent="0.25">
      <c r="A63" s="91"/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113</v>
      </c>
      <c r="H63" s="7" t="s">
        <v>5</v>
      </c>
      <c r="I63" s="8" t="s">
        <v>6</v>
      </c>
      <c r="J63" s="44"/>
      <c r="K63" s="44">
        <f>4691162</f>
        <v>4691162</v>
      </c>
      <c r="L63" s="44"/>
      <c r="M63" s="44">
        <f>J63+K63-L63</f>
        <v>4691162</v>
      </c>
      <c r="N63" s="9"/>
      <c r="O63" s="44">
        <v>1824000</v>
      </c>
      <c r="P63" s="27">
        <f t="shared" si="22"/>
        <v>2867162</v>
      </c>
      <c r="Q63" s="9">
        <v>1824000</v>
      </c>
      <c r="R63" s="25">
        <f t="shared" si="15"/>
        <v>0.38881624637989481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126</v>
      </c>
      <c r="H64" s="7" t="s">
        <v>5</v>
      </c>
      <c r="I64" s="8" t="s">
        <v>6</v>
      </c>
      <c r="J64" s="44">
        <v>5907296</v>
      </c>
      <c r="K64" s="44">
        <f>5550900+9950318+3859602+906047</f>
        <v>20266867</v>
      </c>
      <c r="L64" s="44">
        <f>2369565+262332+1846774+148750+1488</f>
        <v>4628909</v>
      </c>
      <c r="M64" s="44">
        <f>J64+K64-L64</f>
        <v>21545254</v>
      </c>
      <c r="N64" s="9">
        <v>0</v>
      </c>
      <c r="O64" s="44">
        <v>20322967</v>
      </c>
      <c r="P64" s="27">
        <f t="shared" si="22"/>
        <v>1222287</v>
      </c>
      <c r="Q64" s="9">
        <v>20224777</v>
      </c>
      <c r="R64" s="25">
        <f t="shared" si="15"/>
        <v>0.93871146749998868</v>
      </c>
      <c r="S64" s="9">
        <v>0</v>
      </c>
      <c r="T64" s="10">
        <v>0</v>
      </c>
    </row>
    <row r="65" spans="1:22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127</v>
      </c>
      <c r="H65" s="7" t="s">
        <v>5</v>
      </c>
      <c r="I65" s="8" t="s">
        <v>6</v>
      </c>
      <c r="J65" s="44">
        <v>19400000</v>
      </c>
      <c r="K65" s="44">
        <f>49211319+30000000</f>
        <v>79211319</v>
      </c>
      <c r="L65" s="44">
        <f>18807332+5000000+4400000</f>
        <v>28207332</v>
      </c>
      <c r="M65" s="44">
        <f t="shared" si="23"/>
        <v>70403987</v>
      </c>
      <c r="N65" s="9">
        <v>0</v>
      </c>
      <c r="O65" s="44">
        <v>54770500</v>
      </c>
      <c r="P65" s="27">
        <f t="shared" si="22"/>
        <v>15633487</v>
      </c>
      <c r="Q65" s="9">
        <v>24770500</v>
      </c>
      <c r="R65" s="25">
        <f t="shared" si="15"/>
        <v>0.35183376759614482</v>
      </c>
      <c r="S65" s="9">
        <v>8127400</v>
      </c>
      <c r="T65" s="10">
        <v>8127400</v>
      </c>
    </row>
    <row r="66" spans="1:22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44</v>
      </c>
      <c r="G66" s="23" t="s">
        <v>128</v>
      </c>
      <c r="H66" s="7" t="s">
        <v>5</v>
      </c>
      <c r="I66" s="8" t="s">
        <v>6</v>
      </c>
      <c r="J66" s="44">
        <v>1920000</v>
      </c>
      <c r="K66" s="44">
        <f>505750+209896127</f>
        <v>210401877</v>
      </c>
      <c r="L66" s="44">
        <f>1920000</f>
        <v>1920000</v>
      </c>
      <c r="M66" s="44">
        <f t="shared" si="23"/>
        <v>210401877</v>
      </c>
      <c r="N66" s="9">
        <v>0</v>
      </c>
      <c r="O66" s="44">
        <v>505750</v>
      </c>
      <c r="P66" s="27">
        <f t="shared" si="22"/>
        <v>209896127</v>
      </c>
      <c r="Q66" s="9">
        <v>0</v>
      </c>
      <c r="R66" s="25">
        <f t="shared" si="15"/>
        <v>0</v>
      </c>
      <c r="S66" s="9">
        <v>0</v>
      </c>
      <c r="T66" s="10">
        <v>0</v>
      </c>
    </row>
    <row r="67" spans="1:22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129</v>
      </c>
      <c r="H67" s="7" t="s">
        <v>5</v>
      </c>
      <c r="I67" s="8" t="s">
        <v>6</v>
      </c>
      <c r="J67" s="44">
        <v>10633300</v>
      </c>
      <c r="K67" s="44">
        <f>21000+699931+665000+672011+69091+7100000+5000000+335800+2289135</f>
        <v>16851968</v>
      </c>
      <c r="L67" s="44">
        <f>2575440+423+9931</f>
        <v>2585794</v>
      </c>
      <c r="M67" s="44">
        <f t="shared" si="23"/>
        <v>24899474</v>
      </c>
      <c r="N67" s="9">
        <v>0</v>
      </c>
      <c r="O67" s="44">
        <v>19879090</v>
      </c>
      <c r="P67" s="27">
        <f t="shared" si="22"/>
        <v>5020384</v>
      </c>
      <c r="Q67" s="9">
        <v>12214155</v>
      </c>
      <c r="R67" s="25">
        <f t="shared" si="15"/>
        <v>0.49053867563628051</v>
      </c>
      <c r="S67" s="9">
        <v>21000</v>
      </c>
      <c r="T67" s="10">
        <v>21000</v>
      </c>
    </row>
    <row r="68" spans="1:22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130</v>
      </c>
      <c r="H68" s="7" t="s">
        <v>5</v>
      </c>
      <c r="I68" s="8" t="s">
        <v>6</v>
      </c>
      <c r="J68" s="44">
        <v>7000000</v>
      </c>
      <c r="K68" s="44">
        <f>9264292.64+10584974+17915026</f>
        <v>37764292.640000001</v>
      </c>
      <c r="L68" s="44">
        <f>3000000+4000000+28500000</f>
        <v>35500000</v>
      </c>
      <c r="M68" s="44">
        <f t="shared" si="23"/>
        <v>9264292.6400000006</v>
      </c>
      <c r="N68" s="9">
        <v>0</v>
      </c>
      <c r="O68" s="44">
        <v>9264292.6400000006</v>
      </c>
      <c r="P68" s="27">
        <f t="shared" si="22"/>
        <v>0</v>
      </c>
      <c r="Q68" s="9">
        <v>9264292.6400000006</v>
      </c>
      <c r="R68" s="25">
        <f t="shared" si="15"/>
        <v>1</v>
      </c>
      <c r="S68" s="9">
        <v>8722451.9499999993</v>
      </c>
      <c r="T68" s="10">
        <v>6144642.3300000001</v>
      </c>
    </row>
    <row r="69" spans="1:22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131</v>
      </c>
      <c r="H69" s="7" t="s">
        <v>5</v>
      </c>
      <c r="I69" s="8" t="s">
        <v>6</v>
      </c>
      <c r="J69" s="44">
        <v>1098853351</v>
      </c>
      <c r="K69" s="44">
        <f>5000000+5000000+9000000+1000000+1000000+2946448+10500000+7000000</f>
        <v>41446448</v>
      </c>
      <c r="L69" s="44">
        <f>25000000+7000000+70451449+42496130</f>
        <v>144947579</v>
      </c>
      <c r="M69" s="44">
        <f t="shared" si="23"/>
        <v>995352220</v>
      </c>
      <c r="N69" s="9">
        <v>0</v>
      </c>
      <c r="O69" s="44">
        <v>995352220</v>
      </c>
      <c r="P69" s="27">
        <f t="shared" si="22"/>
        <v>0</v>
      </c>
      <c r="Q69" s="9">
        <v>922268612</v>
      </c>
      <c r="R69" s="25">
        <f t="shared" si="15"/>
        <v>0.9265751293547122</v>
      </c>
      <c r="S69" s="9">
        <v>521296161</v>
      </c>
      <c r="T69" s="10">
        <v>521172161</v>
      </c>
    </row>
    <row r="70" spans="1:22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132</v>
      </c>
      <c r="H70" s="7" t="s">
        <v>5</v>
      </c>
      <c r="I70" s="8" t="s">
        <v>6</v>
      </c>
      <c r="J70" s="44">
        <v>221300000</v>
      </c>
      <c r="K70" s="44"/>
      <c r="L70" s="44"/>
      <c r="M70" s="44">
        <f t="shared" si="23"/>
        <v>221300000</v>
      </c>
      <c r="N70" s="9">
        <v>0</v>
      </c>
      <c r="O70" s="44">
        <v>221300000</v>
      </c>
      <c r="P70" s="27">
        <f t="shared" si="22"/>
        <v>0</v>
      </c>
      <c r="Q70" s="9">
        <v>221300000</v>
      </c>
      <c r="R70" s="25">
        <f t="shared" si="15"/>
        <v>1</v>
      </c>
      <c r="S70" s="9">
        <v>65105004</v>
      </c>
      <c r="T70" s="10">
        <v>65105004</v>
      </c>
    </row>
    <row r="71" spans="1:22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5" t="s">
        <v>43</v>
      </c>
      <c r="G71" s="23" t="s">
        <v>242</v>
      </c>
      <c r="H71" s="7" t="s">
        <v>5</v>
      </c>
      <c r="I71" s="8" t="s">
        <v>6</v>
      </c>
      <c r="J71" s="44">
        <v>0</v>
      </c>
      <c r="K71" s="44"/>
      <c r="L71" s="44"/>
      <c r="M71" s="44">
        <v>0</v>
      </c>
      <c r="N71" s="9">
        <v>0</v>
      </c>
      <c r="O71" s="44">
        <v>0</v>
      </c>
      <c r="P71" s="27">
        <f t="shared" ref="P71" si="26">+M71-O71-N71</f>
        <v>0</v>
      </c>
      <c r="Q71" s="9">
        <v>0</v>
      </c>
      <c r="R71" s="25">
        <f t="shared" ref="R71" si="27">IF(Q71&gt;1,Q71/(M71-N71),0)</f>
        <v>0</v>
      </c>
      <c r="S71" s="9">
        <v>0</v>
      </c>
      <c r="T71" s="10">
        <v>0</v>
      </c>
    </row>
    <row r="72" spans="1:22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133</v>
      </c>
      <c r="H72" s="7" t="s">
        <v>5</v>
      </c>
      <c r="I72" s="8" t="s">
        <v>6</v>
      </c>
      <c r="J72" s="44">
        <v>203606672</v>
      </c>
      <c r="K72" s="44"/>
      <c r="L72" s="44"/>
      <c r="M72" s="44">
        <f t="shared" si="23"/>
        <v>203606672</v>
      </c>
      <c r="N72" s="9">
        <v>0</v>
      </c>
      <c r="O72" s="44">
        <v>202620000</v>
      </c>
      <c r="P72" s="27">
        <f t="shared" si="22"/>
        <v>986672</v>
      </c>
      <c r="Q72" s="9">
        <v>202620000</v>
      </c>
      <c r="R72" s="25">
        <f t="shared" si="15"/>
        <v>0.99515402913711981</v>
      </c>
      <c r="S72" s="9">
        <v>55183790</v>
      </c>
      <c r="T72" s="10">
        <v>49508795</v>
      </c>
    </row>
    <row r="73" spans="1:22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134</v>
      </c>
      <c r="H73" s="7" t="s">
        <v>5</v>
      </c>
      <c r="I73" s="8" t="s">
        <v>6</v>
      </c>
      <c r="J73" s="44">
        <v>4586946857</v>
      </c>
      <c r="K73" s="44">
        <f>65000000+11504545+73000000+5837417+180000000+260000000+30000000+16877661+40000000+25034364+60832261</f>
        <v>768086248</v>
      </c>
      <c r="L73" s="44">
        <f>10875072+34275216.2+9264292.64+95440714+16609104+229975000+165741200+30697627+30000000+106382815+10000000+29650694+5397473+147992000+49667342+88567143.16+10000000</f>
        <v>1070535693</v>
      </c>
      <c r="M73" s="44">
        <f t="shared" si="23"/>
        <v>4284497412</v>
      </c>
      <c r="N73" s="9">
        <v>0</v>
      </c>
      <c r="O73" s="44">
        <v>3267753488.1799998</v>
      </c>
      <c r="P73" s="27">
        <f t="shared" si="22"/>
        <v>1016743923.8200002</v>
      </c>
      <c r="Q73" s="9">
        <v>3005763829.6100001</v>
      </c>
      <c r="R73" s="25">
        <f t="shared" si="15"/>
        <v>0.70154408803970125</v>
      </c>
      <c r="S73" s="9">
        <v>3005693390.6100001</v>
      </c>
      <c r="T73" s="10">
        <v>3005693390.6100001</v>
      </c>
    </row>
    <row r="74" spans="1:22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134</v>
      </c>
      <c r="H74" s="7" t="s">
        <v>8</v>
      </c>
      <c r="I74" s="8" t="s">
        <v>9</v>
      </c>
      <c r="J74" s="44">
        <v>786000000</v>
      </c>
      <c r="K74" s="44"/>
      <c r="L74" s="44"/>
      <c r="M74" s="44">
        <f t="shared" si="23"/>
        <v>786000000</v>
      </c>
      <c r="N74" s="9">
        <v>0</v>
      </c>
      <c r="O74" s="44">
        <v>459228762</v>
      </c>
      <c r="P74" s="27">
        <f t="shared" si="22"/>
        <v>326771238</v>
      </c>
      <c r="Q74" s="9">
        <v>459228762</v>
      </c>
      <c r="R74" s="25">
        <f t="shared" si="15"/>
        <v>0.58426051145038171</v>
      </c>
      <c r="S74" s="9">
        <v>459228762</v>
      </c>
      <c r="T74" s="10">
        <v>459228762</v>
      </c>
    </row>
    <row r="75" spans="1:22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134</v>
      </c>
      <c r="H75" s="7" t="s">
        <v>8</v>
      </c>
      <c r="I75" s="8">
        <v>21</v>
      </c>
      <c r="J75" s="44">
        <v>391600000</v>
      </c>
      <c r="K75" s="44"/>
      <c r="L75" s="44"/>
      <c r="M75" s="44">
        <f t="shared" si="23"/>
        <v>391600000</v>
      </c>
      <c r="N75" s="9">
        <v>0</v>
      </c>
      <c r="O75" s="44">
        <v>391600000</v>
      </c>
      <c r="P75" s="27">
        <f t="shared" si="22"/>
        <v>0</v>
      </c>
      <c r="Q75" s="9">
        <v>391600000</v>
      </c>
      <c r="R75" s="25">
        <f t="shared" si="15"/>
        <v>1</v>
      </c>
      <c r="S75" s="9">
        <v>391600000</v>
      </c>
      <c r="T75" s="10">
        <v>391600000</v>
      </c>
    </row>
    <row r="76" spans="1:22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135</v>
      </c>
      <c r="H76" s="7" t="s">
        <v>5</v>
      </c>
      <c r="I76" s="8" t="s">
        <v>6</v>
      </c>
      <c r="J76" s="44">
        <v>5015000000</v>
      </c>
      <c r="K76" s="44">
        <f>14100000</f>
        <v>14100000</v>
      </c>
      <c r="L76" s="44">
        <f>2000000+1183200+66643986+395800</f>
        <v>70222986</v>
      </c>
      <c r="M76" s="44">
        <f t="shared" si="23"/>
        <v>4958877014</v>
      </c>
      <c r="N76" s="9">
        <v>0</v>
      </c>
      <c r="O76" s="44">
        <v>4956525914</v>
      </c>
      <c r="P76" s="27">
        <f t="shared" si="22"/>
        <v>2351100</v>
      </c>
      <c r="Q76" s="9">
        <v>4915921714</v>
      </c>
      <c r="R76" s="25">
        <f t="shared" si="15"/>
        <v>0.9913376960390976</v>
      </c>
      <c r="S76" s="9">
        <v>4884501574</v>
      </c>
      <c r="T76" s="10">
        <v>4884501574</v>
      </c>
    </row>
    <row r="77" spans="1:22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136</v>
      </c>
      <c r="H77" s="7" t="s">
        <v>5</v>
      </c>
      <c r="I77" s="8" t="s">
        <v>6</v>
      </c>
      <c r="J77" s="44">
        <v>2172141060</v>
      </c>
      <c r="K77" s="44"/>
      <c r="L77" s="44">
        <f>4299972+26221172+2277431</f>
        <v>32798575</v>
      </c>
      <c r="M77" s="44">
        <f t="shared" si="23"/>
        <v>2139342485</v>
      </c>
      <c r="N77" s="9">
        <v>0</v>
      </c>
      <c r="O77" s="44">
        <v>2138838485</v>
      </c>
      <c r="P77" s="27">
        <f t="shared" si="22"/>
        <v>504000</v>
      </c>
      <c r="Q77" s="9">
        <v>2138838485</v>
      </c>
      <c r="R77" s="25">
        <f t="shared" si="15"/>
        <v>0.99976441359738621</v>
      </c>
      <c r="S77" s="9">
        <v>1387650262</v>
      </c>
      <c r="T77" s="10">
        <v>1387650262</v>
      </c>
    </row>
    <row r="78" spans="1:22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65" t="s">
        <v>44</v>
      </c>
      <c r="F78" s="65" t="s">
        <v>39</v>
      </c>
      <c r="G78" s="108" t="s">
        <v>157</v>
      </c>
      <c r="H78" s="7" t="s">
        <v>5</v>
      </c>
      <c r="I78" s="8" t="s">
        <v>6</v>
      </c>
      <c r="J78" s="44">
        <v>90000000</v>
      </c>
      <c r="K78" s="44"/>
      <c r="L78" s="44">
        <v>90000000</v>
      </c>
      <c r="M78" s="44">
        <f t="shared" si="23"/>
        <v>0</v>
      </c>
      <c r="N78" s="9">
        <v>0</v>
      </c>
      <c r="O78" s="44">
        <v>0</v>
      </c>
      <c r="P78" s="27">
        <f t="shared" si="22"/>
        <v>0</v>
      </c>
      <c r="Q78" s="9">
        <v>0</v>
      </c>
      <c r="R78" s="25">
        <f t="shared" si="15"/>
        <v>0</v>
      </c>
      <c r="S78" s="9">
        <v>0</v>
      </c>
      <c r="T78" s="10">
        <v>0</v>
      </c>
    </row>
    <row r="79" spans="1:22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8" t="s">
        <v>137</v>
      </c>
      <c r="H79" s="7" t="s">
        <v>5</v>
      </c>
      <c r="I79" s="8" t="s">
        <v>6</v>
      </c>
      <c r="J79" s="44">
        <v>40070000</v>
      </c>
      <c r="K79" s="44">
        <f>229900+54600000</f>
        <v>54829900</v>
      </c>
      <c r="L79" s="44">
        <f>30000000+2053700+2000000</f>
        <v>34053700</v>
      </c>
      <c r="M79" s="44">
        <f t="shared" si="23"/>
        <v>60846200</v>
      </c>
      <c r="N79" s="9"/>
      <c r="O79" s="44">
        <v>50776200</v>
      </c>
      <c r="P79" s="27">
        <f t="shared" si="22"/>
        <v>10070000</v>
      </c>
      <c r="Q79" s="9">
        <v>50776200</v>
      </c>
      <c r="R79" s="25"/>
      <c r="S79" s="9">
        <v>19276200</v>
      </c>
      <c r="T79" s="10">
        <v>19276200</v>
      </c>
    </row>
    <row r="80" spans="1:22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150</v>
      </c>
      <c r="H80" s="7" t="s">
        <v>5</v>
      </c>
      <c r="I80" s="8" t="s">
        <v>6</v>
      </c>
      <c r="J80" s="44">
        <v>4249370800</v>
      </c>
      <c r="K80" s="44">
        <f>19275523.65+151800+5397473+437100+5000000+8582875</f>
        <v>38844771.649999999</v>
      </c>
      <c r="L80" s="44">
        <f>4258800+229900+70074948+54600000+45401356+93043212+192000000+32817251+3000000</f>
        <v>495425467</v>
      </c>
      <c r="M80" s="44">
        <f>J80+K80-L80</f>
        <v>3792790104.6500001</v>
      </c>
      <c r="N80" s="9">
        <v>3284400000</v>
      </c>
      <c r="O80" s="44">
        <v>495407229.64999998</v>
      </c>
      <c r="P80" s="27">
        <f t="shared" si="22"/>
        <v>12982875</v>
      </c>
      <c r="Q80" s="9">
        <v>445407229.64999998</v>
      </c>
      <c r="R80" s="25">
        <f t="shared" ref="R80:R91" si="28">IF(Q80&gt;1,Q80/(M80-N80),0)</f>
        <v>0.87611309814269389</v>
      </c>
      <c r="S80" s="9">
        <v>293231229.64999998</v>
      </c>
      <c r="T80" s="10">
        <v>293231229.64999998</v>
      </c>
      <c r="V80" s="127"/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138</v>
      </c>
      <c r="H81" s="7" t="s">
        <v>5</v>
      </c>
      <c r="I81" s="8" t="s">
        <v>6</v>
      </c>
      <c r="J81" s="44">
        <v>771516577</v>
      </c>
      <c r="K81" s="44"/>
      <c r="L81" s="44">
        <f>16877661+106041583+19000000+4583500+6000000+165413214+115020903.33</f>
        <v>432936861.32999998</v>
      </c>
      <c r="M81" s="44">
        <f t="shared" si="23"/>
        <v>338579715.67000002</v>
      </c>
      <c r="N81" s="9">
        <v>0</v>
      </c>
      <c r="O81" s="44">
        <v>200928911.81</v>
      </c>
      <c r="P81" s="27">
        <f t="shared" si="22"/>
        <v>137650803.86000001</v>
      </c>
      <c r="Q81" s="9">
        <v>200928911.81</v>
      </c>
      <c r="R81" s="25">
        <f t="shared" si="28"/>
        <v>0.59344639537070587</v>
      </c>
      <c r="S81" s="9">
        <v>200928911.81</v>
      </c>
      <c r="T81" s="10">
        <v>200928911.81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139</v>
      </c>
      <c r="H82" s="7" t="s">
        <v>5</v>
      </c>
      <c r="I82" s="8" t="s">
        <v>6</v>
      </c>
      <c r="J82" s="44">
        <v>15465032889</v>
      </c>
      <c r="K82" s="44">
        <f>29650694</f>
        <v>29650694</v>
      </c>
      <c r="L82" s="44">
        <f>78737919.66+40890758+116385232+43200000+92578039+52636119+5000000+36023304+866342+29194257+24905710+70347400+22910883+35431530+100000000+18434631+7000000+30445666.15</f>
        <v>804987790.80999994</v>
      </c>
      <c r="M82" s="44">
        <f>J82+K82-L82</f>
        <v>14689695792.190001</v>
      </c>
      <c r="N82" s="9">
        <v>0</v>
      </c>
      <c r="O82" s="44">
        <v>14599089791.84</v>
      </c>
      <c r="P82" s="27">
        <f t="shared" si="22"/>
        <v>90606000.350000381</v>
      </c>
      <c r="Q82" s="9">
        <v>14599089791.84</v>
      </c>
      <c r="R82" s="25">
        <f t="shared" si="28"/>
        <v>0.9938320029473876</v>
      </c>
      <c r="S82" s="9">
        <v>9624738493.7199993</v>
      </c>
      <c r="T82" s="10">
        <v>9624738493.7199993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140</v>
      </c>
      <c r="H83" s="7" t="s">
        <v>5</v>
      </c>
      <c r="I83" s="63" t="s">
        <v>6</v>
      </c>
      <c r="J83" s="44">
        <v>372795117</v>
      </c>
      <c r="K83" s="44">
        <f>14999692.55+9769956+95440714+1573883+36385232+15875000+14625077+45401356+20073389+30000000+52193000+20000000+7050000+1967725+105000000+10000000+5674768+28500000+8582875+6523941</f>
        <v>529636608.55000001</v>
      </c>
      <c r="L83" s="44">
        <f>2702156+4200750+3500000+15000000+23758500+5000000+2653929+4654217+3201148+10641300+437100+248921600+8582875</f>
        <v>333253575</v>
      </c>
      <c r="M83" s="44">
        <f>J83+K83-L83</f>
        <v>569178150.54999995</v>
      </c>
      <c r="N83" s="9">
        <v>0</v>
      </c>
      <c r="O83" s="44">
        <v>481012981.94999999</v>
      </c>
      <c r="P83" s="27">
        <f t="shared" si="22"/>
        <v>88165168.599999964</v>
      </c>
      <c r="Q83" s="9">
        <v>248652256.94999999</v>
      </c>
      <c r="R83" s="25">
        <f t="shared" si="28"/>
        <v>0.43686191521885714</v>
      </c>
      <c r="S83" s="9">
        <v>139974196.55000001</v>
      </c>
      <c r="T83" s="10">
        <v>139974196.55000001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141</v>
      </c>
      <c r="H84" s="7" t="s">
        <v>5</v>
      </c>
      <c r="I84" s="8" t="s">
        <v>6</v>
      </c>
      <c r="J84" s="44">
        <v>589530283</v>
      </c>
      <c r="K84" s="44">
        <f>12641984+3424800+8575000+17689712</f>
        <v>42331496</v>
      </c>
      <c r="L84" s="44">
        <f>12641984+6629450+11022364+7948000+12050+598</f>
        <v>38254446</v>
      </c>
      <c r="M84" s="44">
        <f>J84+K84-L84</f>
        <v>593607333</v>
      </c>
      <c r="N84" s="9">
        <v>0</v>
      </c>
      <c r="O84" s="44">
        <v>576923354</v>
      </c>
      <c r="P84" s="27">
        <f t="shared" si="22"/>
        <v>16683979</v>
      </c>
      <c r="Q84" s="9">
        <v>201792500</v>
      </c>
      <c r="R84" s="25">
        <f t="shared" si="28"/>
        <v>0.33994273450122625</v>
      </c>
      <c r="S84" s="9">
        <v>9937000</v>
      </c>
      <c r="T84" s="10">
        <v>9937000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142</v>
      </c>
      <c r="H85" s="7" t="s">
        <v>5</v>
      </c>
      <c r="I85" s="8" t="s">
        <v>6</v>
      </c>
      <c r="J85" s="44">
        <v>641562697</v>
      </c>
      <c r="K85" s="44">
        <f>15500000+6400000+11466906+8400000+21000000+20000000</f>
        <v>82766906</v>
      </c>
      <c r="L85" s="44">
        <f>7429347+520000+3900000+472308</f>
        <v>12321655</v>
      </c>
      <c r="M85" s="44">
        <f t="shared" si="23"/>
        <v>712007948</v>
      </c>
      <c r="N85" s="9">
        <v>0</v>
      </c>
      <c r="O85" s="44">
        <v>562286669.60000002</v>
      </c>
      <c r="P85" s="27">
        <f t="shared" si="22"/>
        <v>149721278.39999998</v>
      </c>
      <c r="Q85" s="9">
        <v>553886669.60000002</v>
      </c>
      <c r="R85" s="25">
        <f t="shared" si="28"/>
        <v>0.77792203184788045</v>
      </c>
      <c r="S85" s="9">
        <v>381938925.51999998</v>
      </c>
      <c r="T85" s="10">
        <v>381938925.51999998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151</v>
      </c>
      <c r="H86" s="7" t="s">
        <v>5</v>
      </c>
      <c r="I86" s="8" t="s">
        <v>6</v>
      </c>
      <c r="J86" s="44">
        <v>697500000</v>
      </c>
      <c r="K86" s="44">
        <f>15000000+100+2100000+4100000</f>
        <v>21200100</v>
      </c>
      <c r="L86" s="44">
        <v>1216026</v>
      </c>
      <c r="M86" s="44">
        <f t="shared" si="23"/>
        <v>717484074</v>
      </c>
      <c r="N86" s="9">
        <v>0</v>
      </c>
      <c r="O86" s="44">
        <v>692605943</v>
      </c>
      <c r="P86" s="27">
        <f t="shared" si="22"/>
        <v>24878131</v>
      </c>
      <c r="Q86" s="9">
        <v>628416743</v>
      </c>
      <c r="R86" s="25">
        <f t="shared" si="28"/>
        <v>0.87586159159819899</v>
      </c>
      <c r="S86" s="9">
        <v>82853605.909999996</v>
      </c>
      <c r="T86" s="10">
        <v>82853605.909999996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1772694389</v>
      </c>
      <c r="K87" s="44">
        <f>2000000+7000000+10000000+45000000+25000000+26000000+33255144+42496130+5100000</f>
        <v>195851274</v>
      </c>
      <c r="L87" s="44">
        <f>252167738.18+24731131+3000000+21000000+63832261</f>
        <v>364731130.18000001</v>
      </c>
      <c r="M87" s="44">
        <f t="shared" si="23"/>
        <v>1603814532.8199999</v>
      </c>
      <c r="N87" s="9">
        <v>0</v>
      </c>
      <c r="O87" s="44">
        <v>1603814532</v>
      </c>
      <c r="P87" s="27">
        <f t="shared" si="22"/>
        <v>0.81999993324279785</v>
      </c>
      <c r="Q87" s="9">
        <v>1286052419</v>
      </c>
      <c r="R87" s="25">
        <f t="shared" si="28"/>
        <v>0.80187103476280619</v>
      </c>
      <c r="S87" s="9">
        <v>1255449810</v>
      </c>
      <c r="T87" s="10">
        <v>1251668571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 t="shared" ref="J88:Q88" si="29">J44+J36</f>
        <v>41726600000</v>
      </c>
      <c r="K88" s="64">
        <f t="shared" si="29"/>
        <v>5125035150.6700001</v>
      </c>
      <c r="L88" s="64">
        <f t="shared" si="29"/>
        <v>5125035150.6700001</v>
      </c>
      <c r="M88" s="64">
        <f t="shared" si="29"/>
        <v>41726600000</v>
      </c>
      <c r="N88" s="64">
        <f t="shared" si="29"/>
        <v>3351200000</v>
      </c>
      <c r="O88" s="64">
        <f t="shared" si="29"/>
        <v>35655422993.330002</v>
      </c>
      <c r="P88" s="64">
        <f t="shared" si="29"/>
        <v>2719977006.6700001</v>
      </c>
      <c r="Q88" s="64">
        <f t="shared" si="29"/>
        <v>32367143061.759998</v>
      </c>
      <c r="R88" s="76">
        <f t="shared" si="28"/>
        <v>0.84343467590591881</v>
      </c>
      <c r="S88" s="64">
        <f>S44+S36</f>
        <v>22549711183.889996</v>
      </c>
      <c r="T88" s="73">
        <f>T44+T36</f>
        <v>22537553140.27</v>
      </c>
      <c r="U88" s="32">
        <f>+K88-L88</f>
        <v>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 t="shared" ref="J89:Q90" si="30">J45</f>
        <v>786000000</v>
      </c>
      <c r="K89" s="64">
        <f t="shared" si="30"/>
        <v>0</v>
      </c>
      <c r="L89" s="64">
        <f t="shared" si="30"/>
        <v>0</v>
      </c>
      <c r="M89" s="64">
        <f t="shared" si="30"/>
        <v>786000000</v>
      </c>
      <c r="N89" s="64">
        <f t="shared" si="30"/>
        <v>0</v>
      </c>
      <c r="O89" s="64">
        <f t="shared" si="30"/>
        <v>459228762</v>
      </c>
      <c r="P89" s="64">
        <f t="shared" si="30"/>
        <v>326771238</v>
      </c>
      <c r="Q89" s="64">
        <f t="shared" si="30"/>
        <v>459228762</v>
      </c>
      <c r="R89" s="76">
        <f t="shared" si="28"/>
        <v>0.58426051145038171</v>
      </c>
      <c r="S89" s="64">
        <f>S45</f>
        <v>459228762</v>
      </c>
      <c r="T89" s="73">
        <f>T45</f>
        <v>459228762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 t="shared" si="30"/>
        <v>391600000</v>
      </c>
      <c r="K90" s="64">
        <f t="shared" si="30"/>
        <v>0</v>
      </c>
      <c r="L90" s="64">
        <f t="shared" si="30"/>
        <v>0</v>
      </c>
      <c r="M90" s="64">
        <f t="shared" si="30"/>
        <v>391600000</v>
      </c>
      <c r="N90" s="64">
        <f t="shared" si="30"/>
        <v>0</v>
      </c>
      <c r="O90" s="64">
        <f t="shared" si="30"/>
        <v>391600000</v>
      </c>
      <c r="P90" s="64">
        <f t="shared" si="30"/>
        <v>0</v>
      </c>
      <c r="Q90" s="64">
        <f t="shared" si="30"/>
        <v>391600000</v>
      </c>
      <c r="R90" s="76">
        <f t="shared" si="28"/>
        <v>1</v>
      </c>
      <c r="S90" s="64">
        <f>S46</f>
        <v>391600000</v>
      </c>
      <c r="T90" s="73">
        <f>T46</f>
        <v>391600000</v>
      </c>
      <c r="U90" s="32"/>
    </row>
    <row r="91" spans="1:259" ht="15.75" customHeight="1" thickBot="1" x14ac:dyDescent="0.3">
      <c r="A91" s="121" t="s">
        <v>81</v>
      </c>
      <c r="B91" s="122"/>
      <c r="C91" s="122"/>
      <c r="D91" s="122"/>
      <c r="E91" s="122"/>
      <c r="F91" s="122"/>
      <c r="G91" s="122"/>
      <c r="H91" s="122"/>
      <c r="I91" s="123"/>
      <c r="J91" s="77">
        <f t="shared" ref="J91:Q91" si="31">SUM(J88:J90)</f>
        <v>42904200000</v>
      </c>
      <c r="K91" s="77">
        <f t="shared" si="31"/>
        <v>5125035150.6700001</v>
      </c>
      <c r="L91" s="77">
        <f t="shared" si="31"/>
        <v>5125035150.6700001</v>
      </c>
      <c r="M91" s="77">
        <f t="shared" si="31"/>
        <v>42904200000</v>
      </c>
      <c r="N91" s="77">
        <f t="shared" si="31"/>
        <v>3351200000</v>
      </c>
      <c r="O91" s="77">
        <f t="shared" si="31"/>
        <v>36506251755.330002</v>
      </c>
      <c r="P91" s="77">
        <f t="shared" si="31"/>
        <v>3046748244.6700001</v>
      </c>
      <c r="Q91" s="77">
        <f t="shared" si="31"/>
        <v>33217971823.759998</v>
      </c>
      <c r="R91" s="76">
        <f t="shared" si="28"/>
        <v>0.83983444552271636</v>
      </c>
      <c r="S91" s="77">
        <f>SUM(S88:S90)</f>
        <v>23400539945.889996</v>
      </c>
      <c r="T91" s="78">
        <f>SUM(T88:T90)</f>
        <v>23388381902.27</v>
      </c>
    </row>
    <row r="92" spans="1:259" ht="15.75" customHeight="1" thickBot="1" x14ac:dyDescent="0.3">
      <c r="A92" s="115" t="s">
        <v>87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7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108</v>
      </c>
      <c r="H93" s="11" t="s">
        <v>5</v>
      </c>
      <c r="I93" s="13">
        <v>10</v>
      </c>
      <c r="J93" s="14">
        <f>J94</f>
        <v>14221800000</v>
      </c>
      <c r="K93" s="14">
        <f t="shared" ref="K93:L93" si="32">K94</f>
        <v>0</v>
      </c>
      <c r="L93" s="24">
        <f t="shared" si="32"/>
        <v>0</v>
      </c>
      <c r="M93" s="24">
        <f>M94</f>
        <v>14221800000</v>
      </c>
      <c r="N93" s="14">
        <f>N94</f>
        <v>12721800000</v>
      </c>
      <c r="O93" s="14">
        <f>O94</f>
        <v>1239197537</v>
      </c>
      <c r="P93" s="24">
        <f>P94</f>
        <v>260802463</v>
      </c>
      <c r="Q93" s="14">
        <f t="shared" ref="Q93" si="33">Q94</f>
        <v>1239197537</v>
      </c>
      <c r="R93" s="50">
        <f t="shared" ref="R93:R105" si="34">IF(Q93&gt;1,Q93/(M93-N93),0)</f>
        <v>0.82613169133333331</v>
      </c>
      <c r="S93" s="14">
        <f>S94</f>
        <v>4089333</v>
      </c>
      <c r="T93" s="22">
        <f>T94</f>
        <v>4089333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89</v>
      </c>
      <c r="H94" s="11" t="s">
        <v>5</v>
      </c>
      <c r="I94" s="13">
        <v>10</v>
      </c>
      <c r="J94" s="14">
        <f>J96+J95</f>
        <v>14221800000</v>
      </c>
      <c r="K94" s="14">
        <f t="shared" ref="K94:L94" si="35">K96+K95</f>
        <v>0</v>
      </c>
      <c r="L94" s="24">
        <f t="shared" si="35"/>
        <v>0</v>
      </c>
      <c r="M94" s="24">
        <f>M96+M95</f>
        <v>14221800000</v>
      </c>
      <c r="N94" s="14">
        <f>N96+N95</f>
        <v>12721800000</v>
      </c>
      <c r="O94" s="14">
        <f>O96+O95</f>
        <v>1239197537</v>
      </c>
      <c r="P94" s="24">
        <f>P96+P95</f>
        <v>260802463</v>
      </c>
      <c r="Q94" s="14">
        <f>Q96+Q95</f>
        <v>1239197537</v>
      </c>
      <c r="R94" s="50">
        <f t="shared" si="34"/>
        <v>0.82613169133333331</v>
      </c>
      <c r="S94" s="14">
        <f>S96+S95</f>
        <v>4089333</v>
      </c>
      <c r="T94" s="22">
        <f>T96+T95</f>
        <v>4089333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 t="s">
        <v>158</v>
      </c>
      <c r="F95" s="7"/>
      <c r="G95" s="23" t="s">
        <v>159</v>
      </c>
      <c r="H95" s="7" t="s">
        <v>5</v>
      </c>
      <c r="I95" s="8">
        <v>10</v>
      </c>
      <c r="J95" s="9">
        <v>1500000000</v>
      </c>
      <c r="K95" s="9">
        <v>0</v>
      </c>
      <c r="L95" s="27">
        <v>0</v>
      </c>
      <c r="M95" s="27">
        <f>J95+K95-L95</f>
        <v>1500000000</v>
      </c>
      <c r="N95" s="9">
        <v>0</v>
      </c>
      <c r="O95" s="9">
        <v>1239197537</v>
      </c>
      <c r="P95" s="27">
        <f>M95-O95-N95</f>
        <v>260802463</v>
      </c>
      <c r="Q95" s="9">
        <v>1239197537</v>
      </c>
      <c r="R95" s="96">
        <f t="shared" si="34"/>
        <v>0.82613169133333331</v>
      </c>
      <c r="S95" s="9">
        <v>4089333</v>
      </c>
      <c r="T95" s="10">
        <v>4089333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149</v>
      </c>
      <c r="H96" s="7" t="s">
        <v>5</v>
      </c>
      <c r="I96" s="8">
        <v>10</v>
      </c>
      <c r="J96" s="9">
        <v>12721800000</v>
      </c>
      <c r="K96" s="9">
        <v>0</v>
      </c>
      <c r="L96" s="27">
        <v>0</v>
      </c>
      <c r="M96" s="27">
        <f t="shared" ref="M96:M103" si="36">J96+K96-L96</f>
        <v>12721800000</v>
      </c>
      <c r="N96" s="9">
        <v>12721800000</v>
      </c>
      <c r="O96" s="9">
        <v>0</v>
      </c>
      <c r="P96" s="27">
        <f>+M96-O96-N96</f>
        <v>0</v>
      </c>
      <c r="Q96" s="9">
        <v>0</v>
      </c>
      <c r="R96" s="50">
        <f>IF(Q96&gt;1,Q96/(M96-N96),0)</f>
        <v>0</v>
      </c>
      <c r="S96" s="9">
        <v>0</v>
      </c>
      <c r="T96" s="10">
        <v>0</v>
      </c>
    </row>
    <row r="97" spans="1:22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145</v>
      </c>
      <c r="H97" s="11" t="s">
        <v>5</v>
      </c>
      <c r="I97" s="13">
        <v>10</v>
      </c>
      <c r="J97" s="14">
        <f>J98</f>
        <v>1262700000</v>
      </c>
      <c r="K97" s="14">
        <f t="shared" ref="K97:L98" si="37">K98</f>
        <v>10000000</v>
      </c>
      <c r="L97" s="24">
        <f t="shared" si="37"/>
        <v>10000000</v>
      </c>
      <c r="M97" s="24">
        <f t="shared" si="36"/>
        <v>1262700000</v>
      </c>
      <c r="N97" s="14">
        <v>0</v>
      </c>
      <c r="O97" s="14">
        <f t="shared" ref="O97:Q98" si="38">O98</f>
        <v>1013768009</v>
      </c>
      <c r="P97" s="24">
        <f t="shared" si="38"/>
        <v>248931991</v>
      </c>
      <c r="Q97" s="14">
        <f t="shared" si="38"/>
        <v>1013768009</v>
      </c>
      <c r="R97" s="50">
        <f>IF(Q97&gt;1,Q97/(M97-N97),0)</f>
        <v>0.80285737625722653</v>
      </c>
      <c r="S97" s="14">
        <f>S98</f>
        <v>1006812889</v>
      </c>
      <c r="T97" s="22">
        <f>T98</f>
        <v>1006812889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109</v>
      </c>
      <c r="H98" s="11" t="s">
        <v>5</v>
      </c>
      <c r="I98" s="13">
        <v>10</v>
      </c>
      <c r="J98" s="24">
        <f>J99</f>
        <v>1262700000</v>
      </c>
      <c r="K98" s="24">
        <f t="shared" si="37"/>
        <v>10000000</v>
      </c>
      <c r="L98" s="24">
        <f t="shared" si="37"/>
        <v>10000000</v>
      </c>
      <c r="M98" s="24">
        <f t="shared" si="36"/>
        <v>1262700000</v>
      </c>
      <c r="N98" s="24"/>
      <c r="O98" s="24">
        <f t="shared" si="38"/>
        <v>1013768009</v>
      </c>
      <c r="P98" s="24">
        <f t="shared" si="38"/>
        <v>248931991</v>
      </c>
      <c r="Q98" s="14">
        <f t="shared" si="38"/>
        <v>1013768009</v>
      </c>
      <c r="R98" s="50">
        <f t="shared" si="34"/>
        <v>0.80285737625722653</v>
      </c>
      <c r="S98" s="14">
        <f>S99</f>
        <v>1006812889</v>
      </c>
      <c r="T98" s="22">
        <f>T99</f>
        <v>1006812889</v>
      </c>
    </row>
    <row r="99" spans="1:22" s="6" customFormat="1" ht="16.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82</v>
      </c>
      <c r="H99" s="11" t="s">
        <v>5</v>
      </c>
      <c r="I99" s="13">
        <v>10</v>
      </c>
      <c r="J99" s="24">
        <f>J100+J101</f>
        <v>1262700000</v>
      </c>
      <c r="K99" s="24">
        <f t="shared" ref="K99:L99" si="39">K100+K101</f>
        <v>10000000</v>
      </c>
      <c r="L99" s="24">
        <f t="shared" si="39"/>
        <v>10000000</v>
      </c>
      <c r="M99" s="24">
        <f t="shared" si="36"/>
        <v>1262700000</v>
      </c>
      <c r="N99" s="24">
        <f>N100+N101</f>
        <v>0</v>
      </c>
      <c r="O99" s="24">
        <f>O100+O101</f>
        <v>1013768009</v>
      </c>
      <c r="P99" s="24">
        <f>P100+P101</f>
        <v>248931991</v>
      </c>
      <c r="Q99" s="24">
        <f>Q100+Q101</f>
        <v>1013768009</v>
      </c>
      <c r="R99" s="26">
        <f t="shared" si="34"/>
        <v>0.80285737625722653</v>
      </c>
      <c r="S99" s="14">
        <f>S100+S101</f>
        <v>1006812889</v>
      </c>
      <c r="T99" s="22">
        <f>T100+T101</f>
        <v>1006812889</v>
      </c>
    </row>
    <row r="100" spans="1:22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661204158</v>
      </c>
      <c r="K100" s="27">
        <v>10000000</v>
      </c>
      <c r="L100" s="27">
        <v>0</v>
      </c>
      <c r="M100" s="27">
        <f t="shared" si="36"/>
        <v>671204158</v>
      </c>
      <c r="N100" s="9"/>
      <c r="O100" s="27">
        <v>666062102</v>
      </c>
      <c r="P100" s="27">
        <f>+M100-O100-N100</f>
        <v>5142056</v>
      </c>
      <c r="Q100" s="27">
        <v>666062102</v>
      </c>
      <c r="R100" s="25">
        <f t="shared" si="34"/>
        <v>0.99233905818563184</v>
      </c>
      <c r="S100" s="27">
        <v>659106982</v>
      </c>
      <c r="T100" s="51">
        <v>659106982</v>
      </c>
    </row>
    <row r="101" spans="1:22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601495842</v>
      </c>
      <c r="K101" s="27">
        <v>0</v>
      </c>
      <c r="L101" s="27">
        <v>10000000</v>
      </c>
      <c r="M101" s="27">
        <f t="shared" si="36"/>
        <v>591495842</v>
      </c>
      <c r="N101" s="9">
        <v>0</v>
      </c>
      <c r="O101" s="27">
        <v>347705907</v>
      </c>
      <c r="P101" s="27">
        <f>+M101-O101-N101</f>
        <v>243789935</v>
      </c>
      <c r="Q101" s="27">
        <v>347705907</v>
      </c>
      <c r="R101" s="25">
        <f t="shared" si="34"/>
        <v>0.58784167581688596</v>
      </c>
      <c r="S101" s="27">
        <v>347705907</v>
      </c>
      <c r="T101" s="51">
        <v>347705907</v>
      </c>
    </row>
    <row r="102" spans="1:22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86</v>
      </c>
      <c r="H102" s="11" t="s">
        <v>5</v>
      </c>
      <c r="I102" s="11">
        <v>11</v>
      </c>
      <c r="J102" s="24">
        <f>J103</f>
        <v>1015700000</v>
      </c>
      <c r="K102" s="24">
        <f t="shared" ref="K102:L102" si="40">K103</f>
        <v>0</v>
      </c>
      <c r="L102" s="24">
        <f t="shared" si="40"/>
        <v>0</v>
      </c>
      <c r="M102" s="24">
        <f t="shared" si="36"/>
        <v>1015700000</v>
      </c>
      <c r="N102" s="14">
        <f>N103</f>
        <v>0</v>
      </c>
      <c r="O102" s="24">
        <f>O103</f>
        <v>286372700</v>
      </c>
      <c r="P102" s="24">
        <f>P103</f>
        <v>729327300</v>
      </c>
      <c r="Q102" s="24">
        <f>Q103</f>
        <v>286372700</v>
      </c>
      <c r="R102" s="26">
        <f t="shared" si="34"/>
        <v>0.28194614551540809</v>
      </c>
      <c r="S102" s="24">
        <f>S103</f>
        <v>286372700</v>
      </c>
      <c r="T102" s="33">
        <f>T103</f>
        <v>279412700</v>
      </c>
    </row>
    <row r="103" spans="1:22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23" t="s">
        <v>86</v>
      </c>
      <c r="H103" s="7" t="s">
        <v>5</v>
      </c>
      <c r="I103" s="7">
        <v>11</v>
      </c>
      <c r="J103" s="27">
        <v>1015700000</v>
      </c>
      <c r="K103" s="27">
        <v>0</v>
      </c>
      <c r="L103" s="27">
        <v>0</v>
      </c>
      <c r="M103" s="27">
        <f t="shared" si="36"/>
        <v>1015700000</v>
      </c>
      <c r="N103" s="9">
        <v>0</v>
      </c>
      <c r="O103" s="9">
        <v>286372700</v>
      </c>
      <c r="P103" s="27">
        <f>+M103-O103-N103</f>
        <v>729327300</v>
      </c>
      <c r="Q103" s="27">
        <v>286372700</v>
      </c>
      <c r="R103" s="25">
        <f t="shared" si="34"/>
        <v>0.28194614551540809</v>
      </c>
      <c r="S103" s="27">
        <v>286372700</v>
      </c>
      <c r="T103" s="51">
        <v>279412700</v>
      </c>
    </row>
    <row r="104" spans="1:22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>J102+J97+J93</f>
        <v>16500200000</v>
      </c>
      <c r="K104" s="64">
        <f>K102+K97+K93</f>
        <v>10000000</v>
      </c>
      <c r="L104" s="64">
        <f t="shared" ref="L104" si="41">L102+L97+L93</f>
        <v>10000000</v>
      </c>
      <c r="M104" s="64">
        <f>M102+M97+M93</f>
        <v>16500200000</v>
      </c>
      <c r="N104" s="64">
        <f>N102+N97+N93</f>
        <v>12721800000</v>
      </c>
      <c r="O104" s="64">
        <f>O102+O97+O93</f>
        <v>2539338246</v>
      </c>
      <c r="P104" s="64">
        <f>P102+P97+P93</f>
        <v>1239061754</v>
      </c>
      <c r="Q104" s="64">
        <f>Q102+Q97+Q93</f>
        <v>2539338246</v>
      </c>
      <c r="R104" s="76">
        <f t="shared" si="34"/>
        <v>0.67206707759898365</v>
      </c>
      <c r="S104" s="64">
        <f>S102+S97+S93</f>
        <v>1297274922</v>
      </c>
      <c r="T104" s="73">
        <f>T102+T97+T93</f>
        <v>1290314922</v>
      </c>
      <c r="U104" s="54"/>
      <c r="V104" s="54"/>
    </row>
    <row r="105" spans="1:22" s="6" customFormat="1" ht="16.5" customHeight="1" thickBot="1" x14ac:dyDescent="0.3">
      <c r="A105" s="121" t="s">
        <v>27</v>
      </c>
      <c r="B105" s="122"/>
      <c r="C105" s="122"/>
      <c r="D105" s="122"/>
      <c r="E105" s="122"/>
      <c r="F105" s="122"/>
      <c r="G105" s="122"/>
      <c r="H105" s="122"/>
      <c r="I105" s="123"/>
      <c r="J105" s="77">
        <f>J104</f>
        <v>16500200000</v>
      </c>
      <c r="K105" s="77">
        <f t="shared" ref="K105:L105" si="42">K104</f>
        <v>10000000</v>
      </c>
      <c r="L105" s="77">
        <f t="shared" si="42"/>
        <v>10000000</v>
      </c>
      <c r="M105" s="77">
        <f>M104</f>
        <v>16500200000</v>
      </c>
      <c r="N105" s="77">
        <f>N104</f>
        <v>12721800000</v>
      </c>
      <c r="O105" s="77">
        <f>O104</f>
        <v>2539338246</v>
      </c>
      <c r="P105" s="77">
        <f>P104</f>
        <v>1239061754</v>
      </c>
      <c r="Q105" s="77">
        <f>Q104</f>
        <v>2539338246</v>
      </c>
      <c r="R105" s="76">
        <f t="shared" si="34"/>
        <v>0.67206707759898365</v>
      </c>
      <c r="S105" s="77">
        <f>S104</f>
        <v>1297274922</v>
      </c>
      <c r="T105" s="78">
        <f>T104</f>
        <v>1290314922</v>
      </c>
    </row>
    <row r="106" spans="1:22" s="47" customFormat="1" ht="16.5" customHeight="1" thickBot="1" x14ac:dyDescent="0.3">
      <c r="A106" s="115" t="s">
        <v>106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7"/>
    </row>
    <row r="107" spans="1:22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85</v>
      </c>
      <c r="H107" s="11" t="s">
        <v>5</v>
      </c>
      <c r="I107" s="11" t="s">
        <v>6</v>
      </c>
      <c r="J107" s="24">
        <f>J109</f>
        <v>469200000</v>
      </c>
      <c r="K107" s="24">
        <f t="shared" ref="K107:L107" si="43">K109</f>
        <v>0</v>
      </c>
      <c r="L107" s="24">
        <f t="shared" si="43"/>
        <v>0</v>
      </c>
      <c r="M107" s="24">
        <f>M109</f>
        <v>469200000</v>
      </c>
      <c r="N107" s="24">
        <f>N109+N113</f>
        <v>41941000</v>
      </c>
      <c r="O107" s="24">
        <f>O109</f>
        <v>427258701</v>
      </c>
      <c r="P107" s="24">
        <f>P109</f>
        <v>299</v>
      </c>
      <c r="Q107" s="24">
        <f>Q109</f>
        <v>427258701</v>
      </c>
      <c r="R107" s="26">
        <f>IF(Q107&gt;1,Q107/(M107-N107),0)</f>
        <v>0.99999930019028271</v>
      </c>
      <c r="S107" s="24">
        <f>S109</f>
        <v>427258701</v>
      </c>
      <c r="T107" s="33">
        <f>T109</f>
        <v>427258701</v>
      </c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>
        <v>11</v>
      </c>
      <c r="J108" s="24">
        <f>J112</f>
        <v>850000000</v>
      </c>
      <c r="K108" s="24">
        <f t="shared" ref="K108:L108" si="44">K112</f>
        <v>0</v>
      </c>
      <c r="L108" s="24">
        <f t="shared" si="44"/>
        <v>0</v>
      </c>
      <c r="M108" s="24">
        <f>M112</f>
        <v>850000000</v>
      </c>
      <c r="N108" s="24">
        <f>N112</f>
        <v>0</v>
      </c>
      <c r="O108" s="24">
        <f>O112</f>
        <v>0</v>
      </c>
      <c r="P108" s="24">
        <f>P112</f>
        <v>850000000</v>
      </c>
      <c r="Q108" s="24">
        <f>Q112</f>
        <v>0</v>
      </c>
      <c r="R108" s="26">
        <f t="shared" ref="R108:R121" si="45">IF(Q108&gt;1,Q108/(M108-N108),0)</f>
        <v>0</v>
      </c>
      <c r="S108" s="24">
        <f>S112</f>
        <v>0</v>
      </c>
      <c r="T108" s="33">
        <f>T112</f>
        <v>0</v>
      </c>
    </row>
    <row r="109" spans="1:22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83</v>
      </c>
      <c r="H109" s="11" t="s">
        <v>5</v>
      </c>
      <c r="I109" s="11" t="s">
        <v>6</v>
      </c>
      <c r="J109" s="24">
        <f>J110+J111</f>
        <v>469200000</v>
      </c>
      <c r="K109" s="24">
        <f t="shared" ref="K109:L109" si="46">K110+K111</f>
        <v>0</v>
      </c>
      <c r="L109" s="24">
        <f t="shared" si="46"/>
        <v>0</v>
      </c>
      <c r="M109" s="24">
        <f>M110+M111</f>
        <v>469200000</v>
      </c>
      <c r="N109" s="24">
        <f>N110+N111</f>
        <v>41941000</v>
      </c>
      <c r="O109" s="24">
        <f>O110+O111</f>
        <v>427258701</v>
      </c>
      <c r="P109" s="24">
        <f>M109-O109-N109</f>
        <v>299</v>
      </c>
      <c r="Q109" s="24">
        <f>Q110+Q111</f>
        <v>427258701</v>
      </c>
      <c r="R109" s="26">
        <f>IF(Q109&gt;1,Q109/(M109-N109),0)</f>
        <v>0.99999930019028271</v>
      </c>
      <c r="S109" s="24">
        <f>S110+S111</f>
        <v>427258701</v>
      </c>
      <c r="T109" s="33">
        <f>T110+T111</f>
        <v>427258701</v>
      </c>
    </row>
    <row r="110" spans="1:22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458200000</v>
      </c>
      <c r="K110" s="27">
        <v>0</v>
      </c>
      <c r="L110" s="27">
        <v>0</v>
      </c>
      <c r="M110" s="27">
        <v>458200000</v>
      </c>
      <c r="N110" s="9">
        <f>41941000-2646700</f>
        <v>39294300</v>
      </c>
      <c r="O110" s="27">
        <v>418905401</v>
      </c>
      <c r="P110" s="27">
        <f>+M110-O110-N110</f>
        <v>299</v>
      </c>
      <c r="Q110" s="27">
        <v>418905401</v>
      </c>
      <c r="R110" s="26">
        <f>IF(Q110&gt;1,Q110/(M110-N110),0)</f>
        <v>0.9999992862355418</v>
      </c>
      <c r="S110" s="27">
        <v>418905401</v>
      </c>
      <c r="T110" s="51">
        <v>418905401</v>
      </c>
    </row>
    <row r="111" spans="1:22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11000000</v>
      </c>
      <c r="K111" s="27">
        <v>0</v>
      </c>
      <c r="L111" s="27">
        <v>0</v>
      </c>
      <c r="M111" s="27">
        <v>11000000</v>
      </c>
      <c r="N111" s="9">
        <v>2646700</v>
      </c>
      <c r="O111" s="27">
        <v>8353300</v>
      </c>
      <c r="P111" s="27">
        <f>+M111-O111-N111</f>
        <v>0</v>
      </c>
      <c r="Q111" s="27">
        <v>8353300</v>
      </c>
      <c r="R111" s="26">
        <f t="shared" si="45"/>
        <v>1</v>
      </c>
      <c r="S111" s="27">
        <v>8353300</v>
      </c>
      <c r="T111" s="51">
        <v>8353300</v>
      </c>
    </row>
    <row r="112" spans="1:22" s="47" customFormat="1" ht="16.5" customHeight="1" x14ac:dyDescent="0.25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143</v>
      </c>
      <c r="H112" s="11" t="s">
        <v>5</v>
      </c>
      <c r="I112" s="11">
        <v>11</v>
      </c>
      <c r="J112" s="24">
        <f>J113</f>
        <v>850000000</v>
      </c>
      <c r="K112" s="24">
        <f t="shared" ref="K112:L113" si="47">K113</f>
        <v>0</v>
      </c>
      <c r="L112" s="24">
        <f t="shared" si="47"/>
        <v>0</v>
      </c>
      <c r="M112" s="24">
        <f>M113</f>
        <v>850000000</v>
      </c>
      <c r="N112" s="14">
        <f>N113</f>
        <v>0</v>
      </c>
      <c r="O112" s="24">
        <f t="shared" ref="O112:T113" si="48">O113</f>
        <v>0</v>
      </c>
      <c r="P112" s="24">
        <f>+M112-O112-N112</f>
        <v>850000000</v>
      </c>
      <c r="Q112" s="24">
        <f t="shared" si="48"/>
        <v>0</v>
      </c>
      <c r="R112" s="26">
        <f t="shared" si="45"/>
        <v>0</v>
      </c>
      <c r="S112" s="24">
        <f t="shared" si="48"/>
        <v>0</v>
      </c>
      <c r="T112" s="33">
        <f t="shared" si="48"/>
        <v>0</v>
      </c>
    </row>
    <row r="113" spans="1:21" s="6" customFormat="1" ht="16.5" customHeight="1" x14ac:dyDescent="0.25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84</v>
      </c>
      <c r="H113" s="11" t="s">
        <v>5</v>
      </c>
      <c r="I113" s="11">
        <v>11</v>
      </c>
      <c r="J113" s="24">
        <f>J114</f>
        <v>850000000</v>
      </c>
      <c r="K113" s="24">
        <f t="shared" si="47"/>
        <v>0</v>
      </c>
      <c r="L113" s="24">
        <f t="shared" si="47"/>
        <v>0</v>
      </c>
      <c r="M113" s="24">
        <f>M114</f>
        <v>850000000</v>
      </c>
      <c r="N113" s="14">
        <f>N114</f>
        <v>0</v>
      </c>
      <c r="O113" s="24">
        <f t="shared" si="48"/>
        <v>0</v>
      </c>
      <c r="P113" s="24">
        <f>+M113-O113-N113</f>
        <v>850000000</v>
      </c>
      <c r="Q113" s="24">
        <f t="shared" si="48"/>
        <v>0</v>
      </c>
      <c r="R113" s="26">
        <f t="shared" si="45"/>
        <v>0</v>
      </c>
      <c r="S113" s="24">
        <f t="shared" si="48"/>
        <v>0</v>
      </c>
      <c r="T113" s="33">
        <f t="shared" si="48"/>
        <v>0</v>
      </c>
    </row>
    <row r="114" spans="1:21" ht="18" customHeight="1" x14ac:dyDescent="0.25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84</v>
      </c>
      <c r="H114" s="7" t="s">
        <v>5</v>
      </c>
      <c r="I114" s="7">
        <v>11</v>
      </c>
      <c r="J114" s="27">
        <v>850000000</v>
      </c>
      <c r="K114" s="27">
        <v>0</v>
      </c>
      <c r="L114" s="27">
        <v>0</v>
      </c>
      <c r="M114" s="27">
        <f>J114+K114-L114</f>
        <v>850000000</v>
      </c>
      <c r="N114" s="9">
        <v>0</v>
      </c>
      <c r="O114" s="27">
        <v>0</v>
      </c>
      <c r="P114" s="27">
        <f>+M114-O114-N114</f>
        <v>850000000</v>
      </c>
      <c r="Q114" s="27">
        <v>0</v>
      </c>
      <c r="R114" s="25">
        <f t="shared" si="45"/>
        <v>0</v>
      </c>
      <c r="S114" s="27">
        <v>0</v>
      </c>
      <c r="T114" s="51">
        <v>0</v>
      </c>
    </row>
    <row r="115" spans="1:21" ht="26.25" customHeight="1" x14ac:dyDescent="0.25">
      <c r="A115" s="92" t="s">
        <v>3</v>
      </c>
      <c r="B115" s="81" t="s">
        <v>72</v>
      </c>
      <c r="C115" s="81"/>
      <c r="D115" s="81"/>
      <c r="E115" s="81"/>
      <c r="F115" s="81"/>
      <c r="G115" s="82" t="s">
        <v>105</v>
      </c>
      <c r="H115" s="81" t="s">
        <v>5</v>
      </c>
      <c r="I115" s="83" t="s">
        <v>6</v>
      </c>
      <c r="J115" s="64">
        <f>J107</f>
        <v>469200000</v>
      </c>
      <c r="K115" s="64">
        <f t="shared" ref="K115:L115" si="49">K107</f>
        <v>0</v>
      </c>
      <c r="L115" s="64">
        <f t="shared" si="49"/>
        <v>0</v>
      </c>
      <c r="M115" s="64">
        <f>M107</f>
        <v>469200000</v>
      </c>
      <c r="N115" s="64">
        <f>N109</f>
        <v>41941000</v>
      </c>
      <c r="O115" s="64">
        <f>O109</f>
        <v>427258701</v>
      </c>
      <c r="P115" s="64">
        <f>P109</f>
        <v>299</v>
      </c>
      <c r="Q115" s="64">
        <f>Q109</f>
        <v>427258701</v>
      </c>
      <c r="R115" s="76">
        <f t="shared" si="45"/>
        <v>0.99999930019028271</v>
      </c>
      <c r="S115" s="64">
        <f>S109</f>
        <v>427258701</v>
      </c>
      <c r="T115" s="73">
        <f>T109</f>
        <v>427258701</v>
      </c>
    </row>
    <row r="116" spans="1:21" ht="26.2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>
        <v>11</v>
      </c>
      <c r="J116" s="64">
        <f>J108</f>
        <v>850000000</v>
      </c>
      <c r="K116" s="64">
        <f t="shared" ref="K116:L116" si="50">K108</f>
        <v>0</v>
      </c>
      <c r="L116" s="64">
        <f t="shared" si="50"/>
        <v>0</v>
      </c>
      <c r="M116" s="64">
        <f>M108</f>
        <v>850000000</v>
      </c>
      <c r="N116" s="64">
        <f>N113</f>
        <v>0</v>
      </c>
      <c r="O116" s="64">
        <f>O108</f>
        <v>0</v>
      </c>
      <c r="P116" s="64">
        <f>P108</f>
        <v>850000000</v>
      </c>
      <c r="Q116" s="64">
        <f>Q108</f>
        <v>0</v>
      </c>
      <c r="R116" s="76">
        <f t="shared" si="45"/>
        <v>0</v>
      </c>
      <c r="S116" s="64">
        <f>S108</f>
        <v>0</v>
      </c>
      <c r="T116" s="73">
        <f>T108</f>
        <v>0</v>
      </c>
    </row>
    <row r="117" spans="1:21" ht="16.5" customHeight="1" x14ac:dyDescent="0.25">
      <c r="A117" s="121" t="s">
        <v>110</v>
      </c>
      <c r="B117" s="122"/>
      <c r="C117" s="122"/>
      <c r="D117" s="122"/>
      <c r="E117" s="122"/>
      <c r="F117" s="122"/>
      <c r="G117" s="122"/>
      <c r="H117" s="122"/>
      <c r="I117" s="123"/>
      <c r="J117" s="77">
        <f>J115+J116</f>
        <v>1319200000</v>
      </c>
      <c r="K117" s="77">
        <f t="shared" ref="K117:L117" si="51">K115+K116</f>
        <v>0</v>
      </c>
      <c r="L117" s="77">
        <f t="shared" si="51"/>
        <v>0</v>
      </c>
      <c r="M117" s="77">
        <f>M115+M116</f>
        <v>1319200000</v>
      </c>
      <c r="N117" s="77">
        <f>N115+N116</f>
        <v>41941000</v>
      </c>
      <c r="O117" s="77">
        <f>O115+O116</f>
        <v>427258701</v>
      </c>
      <c r="P117" s="77">
        <f>P115+P116</f>
        <v>850000299</v>
      </c>
      <c r="Q117" s="77">
        <f>Q115+Q116</f>
        <v>427258701</v>
      </c>
      <c r="R117" s="76">
        <f t="shared" si="45"/>
        <v>0.33451218664342941</v>
      </c>
      <c r="S117" s="77">
        <f>S115+S116</f>
        <v>427258701</v>
      </c>
      <c r="T117" s="78">
        <f>T115+T116</f>
        <v>427258701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Q118" si="52">+J115+J88+J33+J104</f>
        <v>332071100000</v>
      </c>
      <c r="K118" s="72">
        <f t="shared" si="52"/>
        <v>10935035150.67</v>
      </c>
      <c r="L118" s="72">
        <f t="shared" si="52"/>
        <v>10935035150.67</v>
      </c>
      <c r="M118" s="72">
        <f t="shared" si="52"/>
        <v>332071100000</v>
      </c>
      <c r="N118" s="72">
        <f t="shared" si="52"/>
        <v>16114941000</v>
      </c>
      <c r="O118" s="72">
        <f t="shared" si="52"/>
        <v>233084458761.33002</v>
      </c>
      <c r="P118" s="72">
        <f t="shared" si="52"/>
        <v>82871700238.669998</v>
      </c>
      <c r="Q118" s="72">
        <f t="shared" si="52"/>
        <v>229796178829.76001</v>
      </c>
      <c r="R118" s="74">
        <f>IF(Q118&gt;1,Q118/(M118-N118),0)</f>
        <v>0.72730400178639976</v>
      </c>
      <c r="S118" s="72">
        <f>+S115+S88+S33+S104</f>
        <v>215734442694.88998</v>
      </c>
      <c r="T118" s="75">
        <f>+T115+T88+T33+T104</f>
        <v>215715324651.26999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850000000</v>
      </c>
      <c r="K119" s="72">
        <f t="shared" ref="K119:L119" si="53">K116</f>
        <v>0</v>
      </c>
      <c r="L119" s="72">
        <f t="shared" si="53"/>
        <v>0</v>
      </c>
      <c r="M119" s="72">
        <f>M116</f>
        <v>850000000</v>
      </c>
      <c r="N119" s="72">
        <f>N116</f>
        <v>0</v>
      </c>
      <c r="O119" s="72">
        <f>O116</f>
        <v>0</v>
      </c>
      <c r="P119" s="72">
        <f>P116</f>
        <v>850000000</v>
      </c>
      <c r="Q119" s="72">
        <f>Q116</f>
        <v>0</v>
      </c>
      <c r="R119" s="74">
        <f t="shared" si="45"/>
        <v>0</v>
      </c>
      <c r="S119" s="72">
        <f>S116</f>
        <v>0</v>
      </c>
      <c r="T119" s="75">
        <f>T116</f>
        <v>0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L120" si="54">J89</f>
        <v>786000000</v>
      </c>
      <c r="K120" s="72">
        <f t="shared" si="54"/>
        <v>0</v>
      </c>
      <c r="L120" s="72">
        <f t="shared" si="54"/>
        <v>0</v>
      </c>
      <c r="M120" s="72">
        <f t="shared" ref="M120:Q121" si="55">M89</f>
        <v>786000000</v>
      </c>
      <c r="N120" s="72">
        <f t="shared" si="55"/>
        <v>0</v>
      </c>
      <c r="O120" s="72">
        <f t="shared" si="55"/>
        <v>459228762</v>
      </c>
      <c r="P120" s="72">
        <f t="shared" si="55"/>
        <v>326771238</v>
      </c>
      <c r="Q120" s="72">
        <f t="shared" si="55"/>
        <v>459228762</v>
      </c>
      <c r="R120" s="74">
        <f t="shared" si="45"/>
        <v>0.58426051145038171</v>
      </c>
      <c r="S120" s="72">
        <f>S89</f>
        <v>459228762</v>
      </c>
      <c r="T120" s="75">
        <f>T89</f>
        <v>459228762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ref="J121:L121" si="56">J90</f>
        <v>391600000</v>
      </c>
      <c r="K121" s="72">
        <f t="shared" si="56"/>
        <v>0</v>
      </c>
      <c r="L121" s="72">
        <f t="shared" si="56"/>
        <v>0</v>
      </c>
      <c r="M121" s="72">
        <f t="shared" si="55"/>
        <v>391600000</v>
      </c>
      <c r="N121" s="72">
        <f t="shared" si="55"/>
        <v>0</v>
      </c>
      <c r="O121" s="72">
        <f t="shared" si="55"/>
        <v>391600000</v>
      </c>
      <c r="P121" s="72">
        <f t="shared" si="55"/>
        <v>0</v>
      </c>
      <c r="Q121" s="72">
        <f t="shared" si="55"/>
        <v>391600000</v>
      </c>
      <c r="R121" s="74">
        <f t="shared" si="45"/>
        <v>1</v>
      </c>
      <c r="S121" s="72">
        <f>S90</f>
        <v>391600000</v>
      </c>
      <c r="T121" s="75">
        <f>T90</f>
        <v>391600000</v>
      </c>
      <c r="U121" s="46"/>
    </row>
    <row r="122" spans="1:21" ht="15.75" customHeight="1" thickBot="1" x14ac:dyDescent="0.3">
      <c r="A122" s="124" t="s">
        <v>28</v>
      </c>
      <c r="B122" s="125"/>
      <c r="C122" s="125"/>
      <c r="D122" s="125"/>
      <c r="E122" s="125"/>
      <c r="F122" s="125"/>
      <c r="G122" s="125"/>
      <c r="H122" s="125"/>
      <c r="I122" s="126"/>
      <c r="J122" s="41">
        <f>SUM(J118:J121)</f>
        <v>334098700000</v>
      </c>
      <c r="K122" s="41">
        <f t="shared" ref="K122:L122" si="57">SUM(K118:K121)</f>
        <v>10935035150.67</v>
      </c>
      <c r="L122" s="41">
        <f t="shared" si="57"/>
        <v>10935035150.67</v>
      </c>
      <c r="M122" s="41">
        <f>SUM(M118:M121)</f>
        <v>334098700000</v>
      </c>
      <c r="N122" s="41">
        <f>SUM(N118:N121)</f>
        <v>16114941000</v>
      </c>
      <c r="O122" s="41">
        <f>SUM(O118:O121)</f>
        <v>233935287523.33002</v>
      </c>
      <c r="P122" s="41">
        <f>SUM(P118:P121)</f>
        <v>84048471476.669998</v>
      </c>
      <c r="Q122" s="41">
        <f>SUM(Q118:Q121)</f>
        <v>230647007591.76001</v>
      </c>
      <c r="R122" s="43">
        <f>IF(Q122&gt;1,Q122/(M122-N122),0)</f>
        <v>0.72534210022896173</v>
      </c>
      <c r="S122" s="41">
        <f>SUM(S118:S121)</f>
        <v>216585271456.88998</v>
      </c>
      <c r="T122" s="52">
        <f>SUM(T118:T121)</f>
        <v>216566153413.26999</v>
      </c>
    </row>
    <row r="123" spans="1:21" s="6" customFormat="1" ht="18.75" customHeight="1" thickBot="1" x14ac:dyDescent="0.3">
      <c r="A123" s="115" t="s">
        <v>31</v>
      </c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7"/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103</v>
      </c>
      <c r="H124" s="11" t="s">
        <v>5</v>
      </c>
      <c r="I124" s="13">
        <v>10</v>
      </c>
      <c r="J124" s="24">
        <f>J128+J130+J132+J136+J142+J152+J156</f>
        <v>45330000000</v>
      </c>
      <c r="K124" s="24">
        <f t="shared" ref="K124:Q124" si="58">K129+K131+K133+K134+K135+K139+K143++K144+K145+K153+K154+K155+K157+K158+K159+K160</f>
        <v>762962130</v>
      </c>
      <c r="L124" s="24">
        <f t="shared" si="58"/>
        <v>762962130</v>
      </c>
      <c r="M124" s="24">
        <f t="shared" si="58"/>
        <v>45330000000</v>
      </c>
      <c r="N124" s="14">
        <f t="shared" si="58"/>
        <v>6481782737</v>
      </c>
      <c r="O124" s="88">
        <f t="shared" si="58"/>
        <v>36523852639.700005</v>
      </c>
      <c r="P124" s="24">
        <f t="shared" si="58"/>
        <v>2324364623.3000007</v>
      </c>
      <c r="Q124" s="14">
        <f t="shared" si="58"/>
        <v>31052717525.699997</v>
      </c>
      <c r="R124" s="26">
        <f>IF(Q124&gt;1,Q124/(M124-N124),0)</f>
        <v>0.79933442802471588</v>
      </c>
      <c r="S124" s="14">
        <f>S129+S131+S133+S134+S135+S139+S143++S144+S145+S153+S154+S155+S157+S158+S159+S160</f>
        <v>6346078763.6999998</v>
      </c>
      <c r="T124" s="22">
        <f>T129+T131+T133+T134+T135+T139+T143++T144+T145+T153+T154+T155+T157+T158+T159+T160</f>
        <v>6346078763.6999998</v>
      </c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8</v>
      </c>
      <c r="I125" s="11">
        <v>11</v>
      </c>
      <c r="J125" s="24">
        <f>J146</f>
        <v>9015000000</v>
      </c>
      <c r="K125" s="24">
        <f t="shared" ref="K125:Q125" si="59">K146</f>
        <v>0</v>
      </c>
      <c r="L125" s="24">
        <f t="shared" si="59"/>
        <v>0</v>
      </c>
      <c r="M125" s="24">
        <f t="shared" si="59"/>
        <v>9015000000</v>
      </c>
      <c r="N125" s="14">
        <f t="shared" si="59"/>
        <v>0</v>
      </c>
      <c r="O125" s="88">
        <f t="shared" si="59"/>
        <v>8734414184.6900005</v>
      </c>
      <c r="P125" s="24">
        <f t="shared" si="59"/>
        <v>280585815.30999994</v>
      </c>
      <c r="Q125" s="14">
        <f t="shared" si="59"/>
        <v>7804357566.6900005</v>
      </c>
      <c r="R125" s="26">
        <f t="shared" ref="R125:R187" si="60">IF(Q125&gt;1,Q125/(M125-N125),0)</f>
        <v>0.86570799408652255</v>
      </c>
      <c r="S125" s="14">
        <f t="shared" ref="S125:T125" si="61">S146</f>
        <v>47600000</v>
      </c>
      <c r="T125" s="22">
        <f t="shared" si="61"/>
        <v>47600000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3">
        <v>20</v>
      </c>
      <c r="J126" s="14">
        <f>J137</f>
        <v>4000000000</v>
      </c>
      <c r="K126" s="14">
        <f t="shared" ref="K126:Q126" si="62">K137</f>
        <v>0</v>
      </c>
      <c r="L126" s="24">
        <f t="shared" si="62"/>
        <v>0</v>
      </c>
      <c r="M126" s="24">
        <f t="shared" si="62"/>
        <v>4000000000</v>
      </c>
      <c r="N126" s="14">
        <f t="shared" si="62"/>
        <v>0</v>
      </c>
      <c r="O126" s="14">
        <f t="shared" si="62"/>
        <v>0</v>
      </c>
      <c r="P126" s="24">
        <f t="shared" si="62"/>
        <v>4000000000</v>
      </c>
      <c r="Q126" s="14">
        <f t="shared" si="62"/>
        <v>0</v>
      </c>
      <c r="R126" s="26">
        <f t="shared" si="60"/>
        <v>0</v>
      </c>
      <c r="S126" s="24">
        <f t="shared" ref="S126:T126" si="63">S137</f>
        <v>0</v>
      </c>
      <c r="T126" s="22">
        <f t="shared" si="63"/>
        <v>0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21</v>
      </c>
      <c r="J127" s="14">
        <f>J138+J147</f>
        <v>2908160000</v>
      </c>
      <c r="K127" s="14">
        <f t="shared" ref="K127:Q127" si="64">K141+K150+K151</f>
        <v>0</v>
      </c>
      <c r="L127" s="24">
        <f t="shared" si="64"/>
        <v>0</v>
      </c>
      <c r="M127" s="24">
        <f t="shared" si="64"/>
        <v>2908160000</v>
      </c>
      <c r="N127" s="14">
        <f t="shared" si="64"/>
        <v>0</v>
      </c>
      <c r="O127" s="14">
        <f t="shared" si="64"/>
        <v>2894867079.0999999</v>
      </c>
      <c r="P127" s="24">
        <f t="shared" si="64"/>
        <v>13292920.900000095</v>
      </c>
      <c r="Q127" s="14">
        <f t="shared" si="64"/>
        <v>2818117980.0999999</v>
      </c>
      <c r="R127" s="26">
        <f t="shared" si="60"/>
        <v>0.96903814786669229</v>
      </c>
      <c r="S127" s="14">
        <f>S141+S150+S151</f>
        <v>1074663447.0999999</v>
      </c>
      <c r="T127" s="22">
        <f>T141+T150+T151</f>
        <v>1074663447.0999999</v>
      </c>
    </row>
    <row r="128" spans="1:21" ht="33" customHeight="1" x14ac:dyDescent="0.25">
      <c r="A128" s="95" t="s">
        <v>18</v>
      </c>
      <c r="B128" s="99" t="s">
        <v>90</v>
      </c>
      <c r="C128" s="99" t="s">
        <v>91</v>
      </c>
      <c r="D128" s="99" t="s">
        <v>92</v>
      </c>
      <c r="E128" s="11"/>
      <c r="F128" s="11"/>
      <c r="G128" s="12" t="s">
        <v>219</v>
      </c>
      <c r="H128" s="99" t="s">
        <v>5</v>
      </c>
      <c r="I128" s="100">
        <v>10</v>
      </c>
      <c r="J128" s="14">
        <f>J129</f>
        <v>10500000000</v>
      </c>
      <c r="K128" s="14">
        <f t="shared" ref="K128:N128" si="65">K129</f>
        <v>0</v>
      </c>
      <c r="L128" s="24">
        <f t="shared" si="65"/>
        <v>0</v>
      </c>
      <c r="M128" s="24">
        <f t="shared" si="65"/>
        <v>10500000000</v>
      </c>
      <c r="N128" s="14">
        <f t="shared" si="65"/>
        <v>0</v>
      </c>
      <c r="O128" s="14">
        <f>O129</f>
        <v>9715800571.7299995</v>
      </c>
      <c r="P128" s="24">
        <f>P129</f>
        <v>784199428.27000046</v>
      </c>
      <c r="Q128" s="14">
        <f>Q129</f>
        <v>9114481436.7299995</v>
      </c>
      <c r="R128" s="26">
        <f t="shared" si="60"/>
        <v>0.86804585111714283</v>
      </c>
      <c r="S128" s="14">
        <f>S129</f>
        <v>192532930</v>
      </c>
      <c r="T128" s="22">
        <f>T129</f>
        <v>192532930</v>
      </c>
    </row>
    <row r="129" spans="1:20" ht="50.25" customHeight="1" x14ac:dyDescent="0.25">
      <c r="A129" s="94" t="s">
        <v>18</v>
      </c>
      <c r="B129" s="56" t="s">
        <v>90</v>
      </c>
      <c r="C129" s="56" t="s">
        <v>91</v>
      </c>
      <c r="D129" s="56" t="s">
        <v>92</v>
      </c>
      <c r="E129" s="56" t="s">
        <v>153</v>
      </c>
      <c r="F129" s="56" t="s">
        <v>165</v>
      </c>
      <c r="G129" s="23" t="s">
        <v>186</v>
      </c>
      <c r="H129" s="56" t="s">
        <v>5</v>
      </c>
      <c r="I129" s="57">
        <v>10</v>
      </c>
      <c r="J129" s="44">
        <v>10500000000</v>
      </c>
      <c r="K129" s="44">
        <v>0</v>
      </c>
      <c r="L129" s="44">
        <v>0</v>
      </c>
      <c r="M129" s="44">
        <f>J129+K129-L129</f>
        <v>10500000000</v>
      </c>
      <c r="N129" s="44">
        <v>0</v>
      </c>
      <c r="O129" s="44">
        <v>9715800571.7299995</v>
      </c>
      <c r="P129" s="44">
        <f t="shared" ref="P129:P157" si="66">+M129-O129-N129</f>
        <v>784199428.27000046</v>
      </c>
      <c r="Q129" s="58">
        <v>9114481436.7299995</v>
      </c>
      <c r="R129" s="25">
        <f t="shared" si="60"/>
        <v>0.86804585111714283</v>
      </c>
      <c r="S129" s="58">
        <v>192532930</v>
      </c>
      <c r="T129" s="59">
        <v>192532930</v>
      </c>
    </row>
    <row r="130" spans="1:20" ht="50.25" customHeight="1" x14ac:dyDescent="0.25">
      <c r="A130" s="95" t="s">
        <v>18</v>
      </c>
      <c r="B130" s="99" t="s">
        <v>90</v>
      </c>
      <c r="C130" s="99" t="s">
        <v>91</v>
      </c>
      <c r="D130" s="99" t="s">
        <v>6</v>
      </c>
      <c r="E130" s="99"/>
      <c r="F130" s="99"/>
      <c r="G130" s="12" t="s">
        <v>220</v>
      </c>
      <c r="H130" s="99" t="s">
        <v>5</v>
      </c>
      <c r="I130" s="100">
        <v>10</v>
      </c>
      <c r="J130" s="48">
        <f>J131</f>
        <v>100000000</v>
      </c>
      <c r="K130" s="48">
        <f t="shared" ref="K130:M130" si="67">K131</f>
        <v>0</v>
      </c>
      <c r="L130" s="48">
        <f t="shared" si="67"/>
        <v>0</v>
      </c>
      <c r="M130" s="48">
        <f t="shared" si="67"/>
        <v>100000000</v>
      </c>
      <c r="N130" s="48">
        <f t="shared" ref="N130:T130" si="68">N131</f>
        <v>30479907</v>
      </c>
      <c r="O130" s="48">
        <f t="shared" si="68"/>
        <v>69347099</v>
      </c>
      <c r="P130" s="48">
        <f t="shared" si="68"/>
        <v>172994</v>
      </c>
      <c r="Q130" s="101">
        <f t="shared" si="68"/>
        <v>69347099</v>
      </c>
      <c r="R130" s="26">
        <f t="shared" si="60"/>
        <v>0.99751159711480819</v>
      </c>
      <c r="S130" s="101">
        <f t="shared" si="68"/>
        <v>0</v>
      </c>
      <c r="T130" s="102">
        <f t="shared" si="68"/>
        <v>0</v>
      </c>
    </row>
    <row r="131" spans="1:20" ht="46.5" customHeight="1" x14ac:dyDescent="0.25">
      <c r="A131" s="94" t="s">
        <v>18</v>
      </c>
      <c r="B131" s="56" t="s">
        <v>90</v>
      </c>
      <c r="C131" s="56" t="s">
        <v>91</v>
      </c>
      <c r="D131" s="56" t="s">
        <v>6</v>
      </c>
      <c r="E131" s="56" t="s">
        <v>153</v>
      </c>
      <c r="F131" s="56" t="s">
        <v>166</v>
      </c>
      <c r="G131" s="23" t="s">
        <v>187</v>
      </c>
      <c r="H131" s="56" t="s">
        <v>5</v>
      </c>
      <c r="I131" s="57">
        <v>10</v>
      </c>
      <c r="J131" s="58">
        <v>100000000</v>
      </c>
      <c r="K131" s="58">
        <v>0</v>
      </c>
      <c r="L131" s="44">
        <v>0</v>
      </c>
      <c r="M131" s="44">
        <f t="shared" ref="M131:M160" si="69">J131+K131-L131</f>
        <v>100000000</v>
      </c>
      <c r="N131" s="44">
        <v>30479907</v>
      </c>
      <c r="O131" s="44">
        <v>69347099</v>
      </c>
      <c r="P131" s="44">
        <f t="shared" si="66"/>
        <v>172994</v>
      </c>
      <c r="Q131" s="58">
        <v>69347099</v>
      </c>
      <c r="R131" s="25">
        <f t="shared" si="60"/>
        <v>0.99751159711480819</v>
      </c>
      <c r="S131" s="58">
        <v>0</v>
      </c>
      <c r="T131" s="59">
        <v>0</v>
      </c>
    </row>
    <row r="132" spans="1:20" s="103" customFormat="1" ht="51.75" customHeight="1" x14ac:dyDescent="0.25">
      <c r="A132" s="95" t="s">
        <v>18</v>
      </c>
      <c r="B132" s="99" t="s">
        <v>90</v>
      </c>
      <c r="C132" s="99" t="s">
        <v>91</v>
      </c>
      <c r="D132" s="99" t="s">
        <v>7</v>
      </c>
      <c r="E132" s="99"/>
      <c r="F132" s="99"/>
      <c r="G132" s="12" t="s">
        <v>240</v>
      </c>
      <c r="H132" s="99" t="s">
        <v>5</v>
      </c>
      <c r="I132" s="100">
        <v>10</v>
      </c>
      <c r="J132" s="101">
        <f>J133+J134+J135</f>
        <v>4570000000</v>
      </c>
      <c r="K132" s="101">
        <f t="shared" ref="K132:T132" si="70">K133+K134+K135</f>
        <v>32529000</v>
      </c>
      <c r="L132" s="48">
        <f t="shared" si="70"/>
        <v>32529000</v>
      </c>
      <c r="M132" s="48">
        <f t="shared" si="70"/>
        <v>4570000000</v>
      </c>
      <c r="N132" s="48">
        <f t="shared" si="70"/>
        <v>0</v>
      </c>
      <c r="O132" s="48">
        <f t="shared" si="70"/>
        <v>4414624774.46</v>
      </c>
      <c r="P132" s="48">
        <f t="shared" si="70"/>
        <v>155375225.54000008</v>
      </c>
      <c r="Q132" s="101">
        <f t="shared" si="70"/>
        <v>3466045991.46</v>
      </c>
      <c r="R132" s="26">
        <f t="shared" si="60"/>
        <v>0.75843457143544857</v>
      </c>
      <c r="S132" s="101">
        <f t="shared" si="70"/>
        <v>1181837320</v>
      </c>
      <c r="T132" s="102">
        <f t="shared" si="70"/>
        <v>1181837320</v>
      </c>
    </row>
    <row r="133" spans="1:20" ht="65.25" customHeight="1" x14ac:dyDescent="0.25">
      <c r="A133" s="94" t="s">
        <v>18</v>
      </c>
      <c r="B133" s="56" t="s">
        <v>90</v>
      </c>
      <c r="C133" s="56" t="s">
        <v>91</v>
      </c>
      <c r="D133" s="56" t="s">
        <v>7</v>
      </c>
      <c r="E133" s="56" t="s">
        <v>154</v>
      </c>
      <c r="F133" s="56" t="s">
        <v>167</v>
      </c>
      <c r="G133" s="23" t="s">
        <v>188</v>
      </c>
      <c r="H133" s="56" t="s">
        <v>5</v>
      </c>
      <c r="I133" s="57">
        <v>10</v>
      </c>
      <c r="J133" s="44">
        <v>1370000000</v>
      </c>
      <c r="K133" s="44">
        <v>0</v>
      </c>
      <c r="L133" s="44">
        <v>32529000</v>
      </c>
      <c r="M133" s="44">
        <f t="shared" si="69"/>
        <v>1337471000</v>
      </c>
      <c r="N133" s="44">
        <v>0</v>
      </c>
      <c r="O133" s="44">
        <v>1337463544.0599999</v>
      </c>
      <c r="P133" s="44">
        <f t="shared" si="66"/>
        <v>7455.9400000572205</v>
      </c>
      <c r="Q133" s="58">
        <v>955150997.05999994</v>
      </c>
      <c r="R133" s="25">
        <f t="shared" si="60"/>
        <v>0.71414707089723806</v>
      </c>
      <c r="S133" s="58">
        <v>160226130</v>
      </c>
      <c r="T133" s="59">
        <v>160226130</v>
      </c>
    </row>
    <row r="134" spans="1:20" ht="76.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154</v>
      </c>
      <c r="F134" s="56" t="s">
        <v>168</v>
      </c>
      <c r="G134" s="23" t="s">
        <v>189</v>
      </c>
      <c r="H134" s="56" t="s">
        <v>5</v>
      </c>
      <c r="I134" s="57">
        <v>10</v>
      </c>
      <c r="J134" s="44">
        <v>2050000000</v>
      </c>
      <c r="K134" s="44">
        <v>32529000</v>
      </c>
      <c r="L134" s="44">
        <v>0</v>
      </c>
      <c r="M134" s="44">
        <f t="shared" si="69"/>
        <v>2082529000</v>
      </c>
      <c r="N134" s="44">
        <v>0</v>
      </c>
      <c r="O134" s="44">
        <v>2082529000</v>
      </c>
      <c r="P134" s="44">
        <f t="shared" ref="P134:P135" si="71">+M134-O134-N134</f>
        <v>0</v>
      </c>
      <c r="Q134" s="58">
        <v>1779795920</v>
      </c>
      <c r="R134" s="25">
        <f t="shared" si="60"/>
        <v>0.85463199792175759</v>
      </c>
      <c r="S134" s="58">
        <v>1021611190</v>
      </c>
      <c r="T134" s="59">
        <v>1021611190</v>
      </c>
    </row>
    <row r="135" spans="1:20" ht="63.7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154</v>
      </c>
      <c r="F135" s="56" t="s">
        <v>169</v>
      </c>
      <c r="G135" s="23" t="s">
        <v>190</v>
      </c>
      <c r="H135" s="56" t="s">
        <v>5</v>
      </c>
      <c r="I135" s="57">
        <v>10</v>
      </c>
      <c r="J135" s="44">
        <v>1150000000</v>
      </c>
      <c r="K135" s="44">
        <v>0</v>
      </c>
      <c r="L135" s="44">
        <v>0</v>
      </c>
      <c r="M135" s="44">
        <f t="shared" si="69"/>
        <v>1150000000</v>
      </c>
      <c r="N135" s="44">
        <v>0</v>
      </c>
      <c r="O135" s="44">
        <v>994632230.39999998</v>
      </c>
      <c r="P135" s="44">
        <f t="shared" si="71"/>
        <v>155367769.60000002</v>
      </c>
      <c r="Q135" s="58">
        <v>731099074.39999998</v>
      </c>
      <c r="R135" s="25">
        <f t="shared" si="60"/>
        <v>0.63573832556521737</v>
      </c>
      <c r="S135" s="58">
        <v>0</v>
      </c>
      <c r="T135" s="59">
        <v>0</v>
      </c>
    </row>
    <row r="136" spans="1:20" ht="49.5" customHeight="1" x14ac:dyDescent="0.25">
      <c r="A136" s="95" t="s">
        <v>18</v>
      </c>
      <c r="B136" s="99" t="s">
        <v>90</v>
      </c>
      <c r="C136" s="99" t="s">
        <v>91</v>
      </c>
      <c r="D136" s="99" t="s">
        <v>93</v>
      </c>
      <c r="E136" s="99"/>
      <c r="F136" s="99"/>
      <c r="G136" s="12" t="s">
        <v>221</v>
      </c>
      <c r="H136" s="99" t="s">
        <v>5</v>
      </c>
      <c r="I136" s="100">
        <v>10</v>
      </c>
      <c r="J136" s="48">
        <f>J139</f>
        <v>4500000000</v>
      </c>
      <c r="K136" s="48">
        <f t="shared" ref="K136:T136" si="72">K139</f>
        <v>0</v>
      </c>
      <c r="L136" s="48">
        <f t="shared" si="72"/>
        <v>0</v>
      </c>
      <c r="M136" s="48">
        <f t="shared" si="72"/>
        <v>4500000000</v>
      </c>
      <c r="N136" s="48">
        <f t="shared" si="72"/>
        <v>0</v>
      </c>
      <c r="O136" s="48">
        <f t="shared" si="72"/>
        <v>4499996000</v>
      </c>
      <c r="P136" s="48">
        <f t="shared" si="72"/>
        <v>4000</v>
      </c>
      <c r="Q136" s="101">
        <f t="shared" si="72"/>
        <v>4492887270</v>
      </c>
      <c r="R136" s="26">
        <f t="shared" si="60"/>
        <v>0.99841939333333329</v>
      </c>
      <c r="S136" s="101">
        <f t="shared" si="72"/>
        <v>3254057088.6999998</v>
      </c>
      <c r="T136" s="102">
        <f t="shared" si="72"/>
        <v>3254057088.6999998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221</v>
      </c>
      <c r="H137" s="99" t="s">
        <v>8</v>
      </c>
      <c r="I137" s="100">
        <v>20</v>
      </c>
      <c r="J137" s="48">
        <f>J140</f>
        <v>4000000000</v>
      </c>
      <c r="K137" s="48">
        <f t="shared" ref="K137:T137" si="73">K140</f>
        <v>0</v>
      </c>
      <c r="L137" s="48">
        <f t="shared" si="73"/>
        <v>0</v>
      </c>
      <c r="M137" s="48">
        <f t="shared" si="73"/>
        <v>4000000000</v>
      </c>
      <c r="N137" s="48">
        <f t="shared" si="73"/>
        <v>0</v>
      </c>
      <c r="O137" s="48">
        <f t="shared" si="73"/>
        <v>0</v>
      </c>
      <c r="P137" s="48">
        <f t="shared" si="73"/>
        <v>4000000000</v>
      </c>
      <c r="Q137" s="101">
        <f t="shared" si="73"/>
        <v>0</v>
      </c>
      <c r="R137" s="26">
        <f t="shared" si="60"/>
        <v>0</v>
      </c>
      <c r="S137" s="101">
        <f t="shared" si="73"/>
        <v>0</v>
      </c>
      <c r="T137" s="102">
        <f t="shared" si="73"/>
        <v>0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221</v>
      </c>
      <c r="H138" s="99" t="s">
        <v>8</v>
      </c>
      <c r="I138" s="100">
        <v>21</v>
      </c>
      <c r="J138" s="48">
        <f>J141</f>
        <v>24160000</v>
      </c>
      <c r="K138" s="48">
        <f t="shared" ref="K138:T138" si="74">K141</f>
        <v>0</v>
      </c>
      <c r="L138" s="48">
        <f t="shared" si="74"/>
        <v>0</v>
      </c>
      <c r="M138" s="48">
        <f t="shared" si="74"/>
        <v>24160000</v>
      </c>
      <c r="N138" s="48">
        <f t="shared" si="74"/>
        <v>0</v>
      </c>
      <c r="O138" s="48">
        <f t="shared" si="74"/>
        <v>24160000</v>
      </c>
      <c r="P138" s="48">
        <f t="shared" si="74"/>
        <v>0</v>
      </c>
      <c r="Q138" s="101">
        <f t="shared" si="74"/>
        <v>24160000</v>
      </c>
      <c r="R138" s="26">
        <f t="shared" si="60"/>
        <v>1</v>
      </c>
      <c r="S138" s="101">
        <f t="shared" si="74"/>
        <v>24160000</v>
      </c>
      <c r="T138" s="102">
        <f t="shared" si="74"/>
        <v>24160000</v>
      </c>
    </row>
    <row r="139" spans="1:20" ht="33.75" customHeight="1" x14ac:dyDescent="0.25">
      <c r="A139" s="94" t="s">
        <v>18</v>
      </c>
      <c r="B139" s="56" t="s">
        <v>90</v>
      </c>
      <c r="C139" s="56" t="s">
        <v>91</v>
      </c>
      <c r="D139" s="56" t="s">
        <v>93</v>
      </c>
      <c r="E139" s="56" t="s">
        <v>153</v>
      </c>
      <c r="F139" s="56" t="s">
        <v>163</v>
      </c>
      <c r="G139" s="23" t="s">
        <v>191</v>
      </c>
      <c r="H139" s="56" t="s">
        <v>5</v>
      </c>
      <c r="I139" s="57">
        <v>10</v>
      </c>
      <c r="J139" s="58">
        <v>4500000000</v>
      </c>
      <c r="K139" s="58">
        <v>0</v>
      </c>
      <c r="L139" s="44">
        <v>0</v>
      </c>
      <c r="M139" s="44">
        <f t="shared" si="69"/>
        <v>4500000000</v>
      </c>
      <c r="N139" s="44">
        <v>0</v>
      </c>
      <c r="O139" s="44">
        <v>4499996000</v>
      </c>
      <c r="P139" s="44">
        <f t="shared" si="66"/>
        <v>4000</v>
      </c>
      <c r="Q139" s="58">
        <v>4492887270</v>
      </c>
      <c r="R139" s="25">
        <f t="shared" si="60"/>
        <v>0.99841939333333329</v>
      </c>
      <c r="S139" s="58">
        <v>3254057088.6999998</v>
      </c>
      <c r="T139" s="59">
        <v>3254057088.6999998</v>
      </c>
    </row>
    <row r="140" spans="1:20" ht="41.2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153</v>
      </c>
      <c r="F140" s="56" t="s">
        <v>164</v>
      </c>
      <c r="G140" s="23" t="s">
        <v>192</v>
      </c>
      <c r="H140" s="56" t="s">
        <v>8</v>
      </c>
      <c r="I140" s="57">
        <v>20</v>
      </c>
      <c r="J140" s="58">
        <v>4000000000</v>
      </c>
      <c r="K140" s="58">
        <v>0</v>
      </c>
      <c r="L140" s="44">
        <v>0</v>
      </c>
      <c r="M140" s="44">
        <f t="shared" si="69"/>
        <v>4000000000</v>
      </c>
      <c r="N140" s="44">
        <v>0</v>
      </c>
      <c r="O140" s="44">
        <v>0</v>
      </c>
      <c r="P140" s="44">
        <f t="shared" si="66"/>
        <v>4000000000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153</v>
      </c>
      <c r="F141" s="56" t="s">
        <v>164</v>
      </c>
      <c r="G141" s="23" t="s">
        <v>192</v>
      </c>
      <c r="H141" s="56" t="s">
        <v>8</v>
      </c>
      <c r="I141" s="57">
        <v>21</v>
      </c>
      <c r="J141" s="58">
        <v>24160000</v>
      </c>
      <c r="K141" s="58">
        <v>0</v>
      </c>
      <c r="L141" s="44">
        <v>0</v>
      </c>
      <c r="M141" s="44">
        <f t="shared" si="69"/>
        <v>24160000</v>
      </c>
      <c r="N141" s="44">
        <v>0</v>
      </c>
      <c r="O141" s="44">
        <v>24160000</v>
      </c>
      <c r="P141" s="44">
        <f t="shared" si="66"/>
        <v>0</v>
      </c>
      <c r="Q141" s="58">
        <v>24160000</v>
      </c>
      <c r="R141" s="25">
        <f t="shared" si="60"/>
        <v>1</v>
      </c>
      <c r="S141" s="58">
        <v>24160000</v>
      </c>
      <c r="T141" s="59">
        <v>24160000</v>
      </c>
    </row>
    <row r="142" spans="1:20" ht="51.75" customHeight="1" x14ac:dyDescent="0.25">
      <c r="A142" s="95" t="s">
        <v>18</v>
      </c>
      <c r="B142" s="99" t="s">
        <v>90</v>
      </c>
      <c r="C142" s="99" t="s">
        <v>91</v>
      </c>
      <c r="D142" s="99" t="s">
        <v>94</v>
      </c>
      <c r="E142" s="99"/>
      <c r="F142" s="99"/>
      <c r="G142" s="12" t="s">
        <v>222</v>
      </c>
      <c r="H142" s="99" t="s">
        <v>5</v>
      </c>
      <c r="I142" s="100">
        <v>10</v>
      </c>
      <c r="J142" s="101">
        <f>J143+J144+J145</f>
        <v>4360000000</v>
      </c>
      <c r="K142" s="101">
        <f>K143+K144+K145</f>
        <v>680433130</v>
      </c>
      <c r="L142" s="48">
        <f>L143+L144+L145</f>
        <v>680433130</v>
      </c>
      <c r="M142" s="48">
        <f t="shared" ref="M142:T142" si="75">M143+M144+M145</f>
        <v>4360000000</v>
      </c>
      <c r="N142" s="48">
        <f t="shared" si="75"/>
        <v>0</v>
      </c>
      <c r="O142" s="48">
        <f t="shared" si="75"/>
        <v>4360000000</v>
      </c>
      <c r="P142" s="48">
        <f t="shared" si="75"/>
        <v>0</v>
      </c>
      <c r="Q142" s="101">
        <f t="shared" si="75"/>
        <v>4279537843</v>
      </c>
      <c r="R142" s="26">
        <f t="shared" si="60"/>
        <v>0.98154537683486243</v>
      </c>
      <c r="S142" s="101">
        <f t="shared" si="75"/>
        <v>1631884705</v>
      </c>
      <c r="T142" s="102">
        <f t="shared" si="75"/>
        <v>1631884705</v>
      </c>
    </row>
    <row r="143" spans="1:20" ht="58.5" customHeight="1" x14ac:dyDescent="0.25">
      <c r="A143" s="94" t="s">
        <v>18</v>
      </c>
      <c r="B143" s="56" t="s">
        <v>90</v>
      </c>
      <c r="C143" s="56" t="s">
        <v>91</v>
      </c>
      <c r="D143" s="56" t="s">
        <v>94</v>
      </c>
      <c r="E143" s="56" t="s">
        <v>155</v>
      </c>
      <c r="F143" s="56" t="s">
        <v>170</v>
      </c>
      <c r="G143" s="23" t="s">
        <v>193</v>
      </c>
      <c r="H143" s="56" t="s">
        <v>5</v>
      </c>
      <c r="I143" s="57">
        <v>10</v>
      </c>
      <c r="J143" s="44">
        <v>2280000000</v>
      </c>
      <c r="K143" s="44">
        <v>680433130</v>
      </c>
      <c r="L143" s="44">
        <v>0</v>
      </c>
      <c r="M143" s="44">
        <f t="shared" si="69"/>
        <v>2960433130</v>
      </c>
      <c r="N143" s="44">
        <v>0</v>
      </c>
      <c r="O143" s="44">
        <v>2960433130</v>
      </c>
      <c r="P143" s="44">
        <f t="shared" si="66"/>
        <v>0</v>
      </c>
      <c r="Q143" s="58">
        <v>2956050222</v>
      </c>
      <c r="R143" s="25">
        <f t="shared" si="60"/>
        <v>0.99851950447534688</v>
      </c>
      <c r="S143" s="58">
        <v>1102772412</v>
      </c>
      <c r="T143" s="59">
        <v>1102772412</v>
      </c>
    </row>
    <row r="144" spans="1:20" ht="57.7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155</v>
      </c>
      <c r="F144" s="56" t="s">
        <v>171</v>
      </c>
      <c r="G144" s="23" t="s">
        <v>194</v>
      </c>
      <c r="H144" s="56" t="s">
        <v>5</v>
      </c>
      <c r="I144" s="57">
        <v>10</v>
      </c>
      <c r="J144" s="44">
        <v>1500000000</v>
      </c>
      <c r="K144" s="44">
        <v>0</v>
      </c>
      <c r="L144" s="44">
        <v>100433130</v>
      </c>
      <c r="M144" s="44">
        <f t="shared" si="69"/>
        <v>1399566870</v>
      </c>
      <c r="N144" s="44">
        <v>0</v>
      </c>
      <c r="O144" s="44">
        <v>1399566870</v>
      </c>
      <c r="P144" s="44">
        <f t="shared" ref="P144:P145" si="76">+M144-O144-N144</f>
        <v>0</v>
      </c>
      <c r="Q144" s="58">
        <v>1323487621</v>
      </c>
      <c r="R144" s="25">
        <f t="shared" si="60"/>
        <v>0.94564086173317319</v>
      </c>
      <c r="S144" s="58">
        <v>529112293</v>
      </c>
      <c r="T144" s="59">
        <v>529112293</v>
      </c>
    </row>
    <row r="145" spans="1:20" ht="48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155</v>
      </c>
      <c r="F145" s="56" t="s">
        <v>172</v>
      </c>
      <c r="G145" s="23" t="s">
        <v>195</v>
      </c>
      <c r="H145" s="56" t="s">
        <v>5</v>
      </c>
      <c r="I145" s="57">
        <v>10</v>
      </c>
      <c r="J145" s="44">
        <v>580000000</v>
      </c>
      <c r="K145" s="44">
        <v>0</v>
      </c>
      <c r="L145" s="44">
        <v>580000000</v>
      </c>
      <c r="M145" s="44">
        <f t="shared" si="69"/>
        <v>0</v>
      </c>
      <c r="N145" s="44">
        <v>0</v>
      </c>
      <c r="O145" s="44">
        <v>0</v>
      </c>
      <c r="P145" s="44">
        <f t="shared" si="76"/>
        <v>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6.5" customHeight="1" x14ac:dyDescent="0.25">
      <c r="A146" s="95" t="s">
        <v>18</v>
      </c>
      <c r="B146" s="99" t="s">
        <v>90</v>
      </c>
      <c r="C146" s="99" t="s">
        <v>91</v>
      </c>
      <c r="D146" s="99" t="s">
        <v>95</v>
      </c>
      <c r="E146" s="99"/>
      <c r="F146" s="99"/>
      <c r="G146" s="12" t="s">
        <v>223</v>
      </c>
      <c r="H146" s="99" t="s">
        <v>5</v>
      </c>
      <c r="I146" s="100">
        <v>11</v>
      </c>
      <c r="J146" s="101">
        <f>J148+J149</f>
        <v>9015000000</v>
      </c>
      <c r="K146" s="101"/>
      <c r="L146" s="48">
        <f t="shared" ref="L146:T146" si="77">L148+L149</f>
        <v>0</v>
      </c>
      <c r="M146" s="48">
        <f t="shared" si="77"/>
        <v>9015000000</v>
      </c>
      <c r="N146" s="48">
        <f t="shared" si="77"/>
        <v>0</v>
      </c>
      <c r="O146" s="48">
        <f t="shared" si="77"/>
        <v>8734414184.6900005</v>
      </c>
      <c r="P146" s="48">
        <f>P148+P149</f>
        <v>280585815.30999994</v>
      </c>
      <c r="Q146" s="101">
        <f t="shared" si="77"/>
        <v>7804357566.6900005</v>
      </c>
      <c r="R146" s="26">
        <f t="shared" si="60"/>
        <v>0.86570799408652255</v>
      </c>
      <c r="S146" s="101">
        <f t="shared" si="77"/>
        <v>47600000</v>
      </c>
      <c r="T146" s="102">
        <f t="shared" si="77"/>
        <v>47600000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223</v>
      </c>
      <c r="H147" s="99" t="s">
        <v>5</v>
      </c>
      <c r="I147" s="100">
        <v>21</v>
      </c>
      <c r="J147" s="101">
        <f>J150+J151</f>
        <v>2884000000</v>
      </c>
      <c r="K147" s="101">
        <f t="shared" ref="K147:T147" si="78">K150+K151</f>
        <v>0</v>
      </c>
      <c r="L147" s="48">
        <f t="shared" si="78"/>
        <v>0</v>
      </c>
      <c r="M147" s="48">
        <f t="shared" si="78"/>
        <v>2884000000</v>
      </c>
      <c r="N147" s="48">
        <f t="shared" si="78"/>
        <v>0</v>
      </c>
      <c r="O147" s="48">
        <f t="shared" si="78"/>
        <v>2870707079.0999999</v>
      </c>
      <c r="P147" s="48">
        <f t="shared" si="78"/>
        <v>13292920.900000095</v>
      </c>
      <c r="Q147" s="101">
        <f t="shared" si="78"/>
        <v>2793957980.0999999</v>
      </c>
      <c r="R147" s="26">
        <f t="shared" si="60"/>
        <v>0.96877877257281553</v>
      </c>
      <c r="S147" s="101">
        <f t="shared" si="78"/>
        <v>1050503447.1</v>
      </c>
      <c r="T147" s="102">
        <f t="shared" si="78"/>
        <v>1050503447.1</v>
      </c>
    </row>
    <row r="148" spans="1:20" ht="46.5" customHeight="1" x14ac:dyDescent="0.25">
      <c r="A148" s="94" t="s">
        <v>18</v>
      </c>
      <c r="B148" s="56" t="s">
        <v>90</v>
      </c>
      <c r="C148" s="56" t="s">
        <v>91</v>
      </c>
      <c r="D148" s="56" t="s">
        <v>95</v>
      </c>
      <c r="E148" s="56" t="s">
        <v>153</v>
      </c>
      <c r="F148" s="56" t="s">
        <v>173</v>
      </c>
      <c r="G148" s="23" t="s">
        <v>196</v>
      </c>
      <c r="H148" s="56" t="s">
        <v>5</v>
      </c>
      <c r="I148" s="57">
        <v>11</v>
      </c>
      <c r="J148" s="58">
        <v>3965000000</v>
      </c>
      <c r="K148" s="58">
        <v>0</v>
      </c>
      <c r="L148" s="44">
        <v>0</v>
      </c>
      <c r="M148" s="44">
        <v>3965000000</v>
      </c>
      <c r="N148" s="44">
        <v>0</v>
      </c>
      <c r="O148" s="44">
        <v>3817013522.6900001</v>
      </c>
      <c r="P148" s="44">
        <f t="shared" si="66"/>
        <v>147986477.30999994</v>
      </c>
      <c r="Q148" s="58">
        <v>3397264799.6900001</v>
      </c>
      <c r="R148" s="25">
        <f t="shared" si="60"/>
        <v>0.85681331644136194</v>
      </c>
      <c r="S148" s="58">
        <v>47600000</v>
      </c>
      <c r="T148" s="59">
        <v>47600000</v>
      </c>
    </row>
    <row r="149" spans="1:20" ht="41.2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153</v>
      </c>
      <c r="F149" s="56" t="s">
        <v>174</v>
      </c>
      <c r="G149" s="23" t="s">
        <v>197</v>
      </c>
      <c r="H149" s="56" t="s">
        <v>5</v>
      </c>
      <c r="I149" s="57">
        <v>11</v>
      </c>
      <c r="J149" s="44">
        <v>5050000000</v>
      </c>
      <c r="K149" s="44">
        <v>0</v>
      </c>
      <c r="L149" s="44">
        <v>0</v>
      </c>
      <c r="M149" s="44">
        <f t="shared" si="69"/>
        <v>5050000000</v>
      </c>
      <c r="N149" s="44">
        <v>0</v>
      </c>
      <c r="O149" s="44">
        <v>4917400662</v>
      </c>
      <c r="P149" s="44">
        <f t="shared" si="66"/>
        <v>132599338</v>
      </c>
      <c r="Q149" s="58">
        <v>4407092767</v>
      </c>
      <c r="R149" s="25">
        <f t="shared" si="60"/>
        <v>0.87269163702970298</v>
      </c>
      <c r="S149" s="58">
        <v>0</v>
      </c>
      <c r="T149" s="59">
        <v>0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153</v>
      </c>
      <c r="F150" s="56" t="s">
        <v>174</v>
      </c>
      <c r="G150" s="23" t="s">
        <v>197</v>
      </c>
      <c r="H150" s="56" t="s">
        <v>8</v>
      </c>
      <c r="I150" s="57">
        <v>21</v>
      </c>
      <c r="J150" s="44">
        <v>1584000000</v>
      </c>
      <c r="K150" s="44">
        <v>0</v>
      </c>
      <c r="L150" s="44">
        <v>0</v>
      </c>
      <c r="M150" s="44">
        <f t="shared" si="69"/>
        <v>1584000000</v>
      </c>
      <c r="N150" s="44">
        <v>0</v>
      </c>
      <c r="O150" s="44">
        <v>1583999999.0999999</v>
      </c>
      <c r="P150" s="44">
        <f t="shared" ref="P150" si="79">+M150-O150-N150</f>
        <v>0.90000009536743164</v>
      </c>
      <c r="Q150" s="58">
        <v>1560564285.0999999</v>
      </c>
      <c r="R150" s="25">
        <f t="shared" si="60"/>
        <v>0.98520472544191917</v>
      </c>
      <c r="S150" s="58">
        <v>300976493.10000002</v>
      </c>
      <c r="T150" s="59">
        <v>300976493.10000002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153</v>
      </c>
      <c r="F151" s="56" t="s">
        <v>173</v>
      </c>
      <c r="G151" s="23" t="s">
        <v>196</v>
      </c>
      <c r="H151" s="56" t="s">
        <v>8</v>
      </c>
      <c r="I151" s="57">
        <v>21</v>
      </c>
      <c r="J151" s="44">
        <v>1300000000</v>
      </c>
      <c r="K151" s="44">
        <v>0</v>
      </c>
      <c r="L151" s="44">
        <v>0</v>
      </c>
      <c r="M151" s="44">
        <f t="shared" si="69"/>
        <v>1300000000</v>
      </c>
      <c r="N151" s="44">
        <v>0</v>
      </c>
      <c r="O151" s="44">
        <v>1286707080</v>
      </c>
      <c r="P151" s="44">
        <f t="shared" ref="P151" si="80">+M151-O151-N151</f>
        <v>13292920</v>
      </c>
      <c r="Q151" s="58">
        <v>1233393695</v>
      </c>
      <c r="R151" s="25">
        <f t="shared" si="60"/>
        <v>0.94876438076923075</v>
      </c>
      <c r="S151" s="59">
        <v>749526954</v>
      </c>
      <c r="T151" s="59">
        <v>749526954</v>
      </c>
    </row>
    <row r="152" spans="1:20" s="103" customFormat="1" ht="41.25" customHeight="1" x14ac:dyDescent="0.25">
      <c r="A152" s="95" t="s">
        <v>18</v>
      </c>
      <c r="B152" s="99" t="s">
        <v>90</v>
      </c>
      <c r="C152" s="99" t="s">
        <v>91</v>
      </c>
      <c r="D152" s="99" t="s">
        <v>96</v>
      </c>
      <c r="E152" s="99"/>
      <c r="F152" s="99"/>
      <c r="G152" s="12" t="s">
        <v>241</v>
      </c>
      <c r="H152" s="99" t="s">
        <v>5</v>
      </c>
      <c r="I152" s="100">
        <v>10</v>
      </c>
      <c r="J152" s="48">
        <f>J153+J154+J155</f>
        <v>1300000000</v>
      </c>
      <c r="K152" s="48">
        <f>K153+K154+K155</f>
        <v>50000000</v>
      </c>
      <c r="L152" s="48">
        <f t="shared" ref="L152:T152" si="81">L153+L154+L155</f>
        <v>50000000</v>
      </c>
      <c r="M152" s="48">
        <f t="shared" si="81"/>
        <v>1300000000</v>
      </c>
      <c r="N152" s="48">
        <f t="shared" si="81"/>
        <v>900000000</v>
      </c>
      <c r="O152" s="48">
        <f t="shared" si="81"/>
        <v>89923795</v>
      </c>
      <c r="P152" s="48">
        <f t="shared" si="81"/>
        <v>310076205</v>
      </c>
      <c r="Q152" s="101">
        <f t="shared" si="81"/>
        <v>89923795</v>
      </c>
      <c r="R152" s="26">
        <f t="shared" si="60"/>
        <v>0.22480948749999999</v>
      </c>
      <c r="S152" s="101">
        <f t="shared" si="81"/>
        <v>52896350</v>
      </c>
      <c r="T152" s="102">
        <f t="shared" si="81"/>
        <v>52896350</v>
      </c>
    </row>
    <row r="153" spans="1:20" s="47" customFormat="1" ht="55.5" customHeight="1" x14ac:dyDescent="0.25">
      <c r="A153" s="94" t="s">
        <v>18</v>
      </c>
      <c r="B153" s="56" t="s">
        <v>90</v>
      </c>
      <c r="C153" s="56" t="s">
        <v>91</v>
      </c>
      <c r="D153" s="56" t="s">
        <v>96</v>
      </c>
      <c r="E153" s="56" t="s">
        <v>153</v>
      </c>
      <c r="F153" s="56" t="s">
        <v>175</v>
      </c>
      <c r="G153" s="23" t="s">
        <v>198</v>
      </c>
      <c r="H153" s="56" t="s">
        <v>5</v>
      </c>
      <c r="I153" s="57">
        <v>10</v>
      </c>
      <c r="J153" s="58">
        <v>437500000</v>
      </c>
      <c r="K153" s="58">
        <v>0</v>
      </c>
      <c r="L153" s="44">
        <v>50000000</v>
      </c>
      <c r="M153" s="44">
        <f t="shared" si="69"/>
        <v>387500000</v>
      </c>
      <c r="N153" s="44">
        <v>387500000</v>
      </c>
      <c r="O153" s="44">
        <v>0</v>
      </c>
      <c r="P153" s="44">
        <f t="shared" si="66"/>
        <v>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153</v>
      </c>
      <c r="F154" s="56" t="s">
        <v>176</v>
      </c>
      <c r="G154" s="23" t="s">
        <v>199</v>
      </c>
      <c r="H154" s="56" t="s">
        <v>5</v>
      </c>
      <c r="I154" s="57">
        <v>10</v>
      </c>
      <c r="J154" s="58">
        <v>700000000</v>
      </c>
      <c r="K154" s="58">
        <v>50000000</v>
      </c>
      <c r="L154" s="44">
        <v>0</v>
      </c>
      <c r="M154" s="44">
        <f t="shared" si="69"/>
        <v>750000000</v>
      </c>
      <c r="N154" s="44">
        <v>350000000</v>
      </c>
      <c r="O154" s="44">
        <v>89923795</v>
      </c>
      <c r="P154" s="44">
        <f t="shared" ref="P154:P155" si="82">+M154-O154-N154</f>
        <v>310076205</v>
      </c>
      <c r="Q154" s="58">
        <v>89923795</v>
      </c>
      <c r="R154" s="25">
        <f t="shared" si="60"/>
        <v>0.22480948749999999</v>
      </c>
      <c r="S154" s="58">
        <v>52896350</v>
      </c>
      <c r="T154" s="59">
        <v>52896350</v>
      </c>
    </row>
    <row r="155" spans="1:20" s="47" customFormat="1" ht="42.75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153</v>
      </c>
      <c r="F155" s="56" t="s">
        <v>177</v>
      </c>
      <c r="G155" s="23" t="s">
        <v>200</v>
      </c>
      <c r="H155" s="56" t="s">
        <v>5</v>
      </c>
      <c r="I155" s="57">
        <v>10</v>
      </c>
      <c r="J155" s="58">
        <v>162500000</v>
      </c>
      <c r="K155" s="58">
        <v>0</v>
      </c>
      <c r="L155" s="44">
        <v>0</v>
      </c>
      <c r="M155" s="44">
        <f t="shared" si="69"/>
        <v>162500000</v>
      </c>
      <c r="N155" s="44">
        <v>162500000</v>
      </c>
      <c r="O155" s="44">
        <v>0</v>
      </c>
      <c r="P155" s="44">
        <f t="shared" si="82"/>
        <v>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2.75" customHeight="1" x14ac:dyDescent="0.25">
      <c r="A156" s="95" t="s">
        <v>18</v>
      </c>
      <c r="B156" s="99" t="s">
        <v>90</v>
      </c>
      <c r="C156" s="99" t="s">
        <v>91</v>
      </c>
      <c r="D156" s="99">
        <v>16</v>
      </c>
      <c r="E156" s="99"/>
      <c r="F156" s="99"/>
      <c r="G156" s="12" t="s">
        <v>224</v>
      </c>
      <c r="H156" s="56" t="s">
        <v>5</v>
      </c>
      <c r="I156" s="57">
        <v>10</v>
      </c>
      <c r="J156" s="101">
        <f>J157+J158+J159+J160</f>
        <v>20000000000</v>
      </c>
      <c r="K156" s="101">
        <f t="shared" ref="K156:T156" si="83">K157+K158+K159+K160</f>
        <v>0</v>
      </c>
      <c r="L156" s="48">
        <f t="shared" si="83"/>
        <v>0</v>
      </c>
      <c r="M156" s="48">
        <f t="shared" si="83"/>
        <v>20000000000</v>
      </c>
      <c r="N156" s="48">
        <f t="shared" si="83"/>
        <v>5551302830</v>
      </c>
      <c r="O156" s="48">
        <f t="shared" si="83"/>
        <v>13374160399.51</v>
      </c>
      <c r="P156" s="48">
        <f t="shared" si="83"/>
        <v>1074536770.4900002</v>
      </c>
      <c r="Q156" s="101">
        <f t="shared" si="83"/>
        <v>9540494090.5100002</v>
      </c>
      <c r="R156" s="26">
        <f t="shared" si="60"/>
        <v>0.66030133916288591</v>
      </c>
      <c r="S156" s="101">
        <f t="shared" si="83"/>
        <v>32870370</v>
      </c>
      <c r="T156" s="102">
        <f t="shared" si="83"/>
        <v>32870370</v>
      </c>
    </row>
    <row r="157" spans="1:20" s="47" customFormat="1" ht="48" customHeight="1" x14ac:dyDescent="0.25">
      <c r="A157" s="94" t="s">
        <v>18</v>
      </c>
      <c r="B157" s="56" t="s">
        <v>90</v>
      </c>
      <c r="C157" s="56" t="s">
        <v>91</v>
      </c>
      <c r="D157" s="56">
        <v>16</v>
      </c>
      <c r="E157" s="56" t="s">
        <v>155</v>
      </c>
      <c r="F157" s="56" t="s">
        <v>165</v>
      </c>
      <c r="G157" s="23" t="s">
        <v>201</v>
      </c>
      <c r="H157" s="56" t="s">
        <v>5</v>
      </c>
      <c r="I157" s="57">
        <v>10</v>
      </c>
      <c r="J157" s="58">
        <v>8500000000</v>
      </c>
      <c r="K157" s="58">
        <v>0</v>
      </c>
      <c r="L157" s="44">
        <v>0</v>
      </c>
      <c r="M157" s="44">
        <f t="shared" si="69"/>
        <v>8500000000</v>
      </c>
      <c r="N157" s="44">
        <v>0</v>
      </c>
      <c r="O157" s="44">
        <v>8289374421.6199999</v>
      </c>
      <c r="P157" s="44">
        <f t="shared" si="66"/>
        <v>210625578.38000011</v>
      </c>
      <c r="Q157" s="58">
        <v>5279931742.6199999</v>
      </c>
      <c r="R157" s="25">
        <f t="shared" si="60"/>
        <v>0.62116844030823526</v>
      </c>
      <c r="S157" s="58">
        <v>0</v>
      </c>
      <c r="T157" s="59">
        <v>0</v>
      </c>
    </row>
    <row r="158" spans="1:20" s="47" customFormat="1" ht="48.75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155</v>
      </c>
      <c r="F158" s="56" t="s">
        <v>163</v>
      </c>
      <c r="G158" s="23" t="s">
        <v>202</v>
      </c>
      <c r="H158" s="56" t="s">
        <v>5</v>
      </c>
      <c r="I158" s="57">
        <v>10</v>
      </c>
      <c r="J158" s="58">
        <v>5100000000</v>
      </c>
      <c r="K158" s="58">
        <v>0</v>
      </c>
      <c r="L158" s="44">
        <v>0</v>
      </c>
      <c r="M158" s="44">
        <f t="shared" si="69"/>
        <v>5100000000</v>
      </c>
      <c r="N158" s="44">
        <v>287591962</v>
      </c>
      <c r="O158" s="44">
        <v>4147644151.48</v>
      </c>
      <c r="P158" s="44">
        <f t="shared" ref="P158:P160" si="84">+M158-O158-N158</f>
        <v>664763886.51999998</v>
      </c>
      <c r="Q158" s="58">
        <v>4135539141.48</v>
      </c>
      <c r="R158" s="25">
        <f t="shared" si="60"/>
        <v>0.85934922991249485</v>
      </c>
      <c r="S158" s="58">
        <v>0</v>
      </c>
      <c r="T158" s="59">
        <v>0</v>
      </c>
    </row>
    <row r="159" spans="1:20" s="47" customFormat="1" ht="49.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155</v>
      </c>
      <c r="F159" s="56" t="s">
        <v>171</v>
      </c>
      <c r="G159" s="23" t="s">
        <v>203</v>
      </c>
      <c r="H159" s="56" t="s">
        <v>5</v>
      </c>
      <c r="I159" s="57">
        <v>10</v>
      </c>
      <c r="J159" s="58">
        <v>900000000</v>
      </c>
      <c r="K159" s="58">
        <v>0</v>
      </c>
      <c r="L159" s="44">
        <v>0</v>
      </c>
      <c r="M159" s="44">
        <f t="shared" si="69"/>
        <v>900000000</v>
      </c>
      <c r="N159" s="44">
        <v>0</v>
      </c>
      <c r="O159" s="44">
        <v>844988990</v>
      </c>
      <c r="P159" s="44">
        <f t="shared" si="84"/>
        <v>55011010</v>
      </c>
      <c r="Q159" s="58">
        <v>32870370</v>
      </c>
      <c r="R159" s="25">
        <f t="shared" si="60"/>
        <v>3.6522633333333332E-2</v>
      </c>
      <c r="S159" s="58">
        <v>32870370</v>
      </c>
      <c r="T159" s="59">
        <v>32870370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155</v>
      </c>
      <c r="F160" s="56" t="s">
        <v>169</v>
      </c>
      <c r="G160" s="23" t="s">
        <v>204</v>
      </c>
      <c r="H160" s="56" t="s">
        <v>5</v>
      </c>
      <c r="I160" s="57">
        <v>10</v>
      </c>
      <c r="J160" s="58">
        <v>5500000000</v>
      </c>
      <c r="K160" s="58">
        <v>0</v>
      </c>
      <c r="L160" s="44">
        <v>0</v>
      </c>
      <c r="M160" s="44">
        <f t="shared" si="69"/>
        <v>5500000000</v>
      </c>
      <c r="N160" s="44">
        <v>5263710868</v>
      </c>
      <c r="O160" s="44">
        <v>92152836.409999996</v>
      </c>
      <c r="P160" s="44">
        <f t="shared" si="84"/>
        <v>144136295.59000015</v>
      </c>
      <c r="Q160" s="58">
        <v>92152836.409999996</v>
      </c>
      <c r="R160" s="25">
        <f t="shared" si="60"/>
        <v>0.39000031711149541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104</v>
      </c>
      <c r="H161" s="11" t="s">
        <v>5</v>
      </c>
      <c r="I161" s="13">
        <v>10</v>
      </c>
      <c r="J161" s="14">
        <f>J162</f>
        <v>35340115679</v>
      </c>
      <c r="K161" s="14">
        <f t="shared" ref="K161:Q161" si="85">K162</f>
        <v>42991612</v>
      </c>
      <c r="L161" s="24">
        <f t="shared" si="85"/>
        <v>42991612</v>
      </c>
      <c r="M161" s="48">
        <f t="shared" si="85"/>
        <v>35340115679</v>
      </c>
      <c r="N161" s="24">
        <f t="shared" si="85"/>
        <v>1323276263</v>
      </c>
      <c r="O161" s="24">
        <f t="shared" si="85"/>
        <v>25111949736.599998</v>
      </c>
      <c r="P161" s="24">
        <f t="shared" si="85"/>
        <v>8904889679.3999996</v>
      </c>
      <c r="Q161" s="14">
        <f t="shared" si="85"/>
        <v>17881944020.600002</v>
      </c>
      <c r="R161" s="26">
        <f t="shared" si="60"/>
        <v>0.52567917324468227</v>
      </c>
      <c r="S161" s="14">
        <f>S162</f>
        <v>8993598694.0099983</v>
      </c>
      <c r="T161" s="22">
        <f t="shared" ref="T161" si="86">T162</f>
        <v>8993598694.0099983</v>
      </c>
    </row>
    <row r="162" spans="1:20" ht="31.5" customHeight="1" x14ac:dyDescent="0.25">
      <c r="A162" s="95" t="s">
        <v>18</v>
      </c>
      <c r="B162" s="11" t="s">
        <v>97</v>
      </c>
      <c r="C162" s="11" t="s">
        <v>91</v>
      </c>
      <c r="D162" s="11"/>
      <c r="E162" s="11"/>
      <c r="F162" s="11"/>
      <c r="G162" s="12" t="s">
        <v>236</v>
      </c>
      <c r="H162" s="11" t="s">
        <v>5</v>
      </c>
      <c r="I162" s="13">
        <v>10</v>
      </c>
      <c r="J162" s="14">
        <f>J163+J165+J167+J169+J172+J175+J177+J179+J181+J183+J186</f>
        <v>35340115679</v>
      </c>
      <c r="K162" s="14">
        <f t="shared" ref="K162:O162" si="87">K163+K165+K167+K169+K172+K175+K177+K179+K181+K183+K186</f>
        <v>42991612</v>
      </c>
      <c r="L162" s="24">
        <f t="shared" si="87"/>
        <v>42991612</v>
      </c>
      <c r="M162" s="48">
        <f>M163+M165+M167+M169+M172+M175+M177+M179+M181+M183+M186</f>
        <v>35340115679</v>
      </c>
      <c r="N162" s="24">
        <f t="shared" si="87"/>
        <v>1323276263</v>
      </c>
      <c r="O162" s="24">
        <f t="shared" si="87"/>
        <v>25111949736.599998</v>
      </c>
      <c r="P162" s="24">
        <f>P163+P165+P167+P169+P172+P175+P177+P179+P181+P183+P186</f>
        <v>8904889679.3999996</v>
      </c>
      <c r="Q162" s="14">
        <f>Q163+Q165+Q167+Q169+Q172+Q175+Q177+Q179+Q181+Q183+Q186</f>
        <v>17881944020.600002</v>
      </c>
      <c r="R162" s="26">
        <f t="shared" si="60"/>
        <v>0.52567917324468227</v>
      </c>
      <c r="S162" s="14">
        <f>S163+S165+S167+S169+S172+S175+S177+S179+S181+S183+S186</f>
        <v>8993598694.0099983</v>
      </c>
      <c r="T162" s="22">
        <f>T163+T165+T167+T169+T172+T175+T177+T179+T181+T183+T186</f>
        <v>8993598694.0099983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>
        <v>10</v>
      </c>
      <c r="E163" s="11"/>
      <c r="F163" s="11"/>
      <c r="G163" s="12" t="s">
        <v>225</v>
      </c>
      <c r="H163" s="11" t="s">
        <v>5</v>
      </c>
      <c r="I163" s="13">
        <v>10</v>
      </c>
      <c r="J163" s="14">
        <f>J164</f>
        <v>330000000</v>
      </c>
      <c r="K163" s="14">
        <f t="shared" ref="K163:T163" si="88">K164</f>
        <v>0</v>
      </c>
      <c r="L163" s="24">
        <f t="shared" si="88"/>
        <v>0</v>
      </c>
      <c r="M163" s="48">
        <f t="shared" si="88"/>
        <v>330000000</v>
      </c>
      <c r="N163" s="24">
        <f t="shared" si="88"/>
        <v>314628814</v>
      </c>
      <c r="O163" s="24">
        <f t="shared" si="88"/>
        <v>15371185.779999999</v>
      </c>
      <c r="P163" s="24">
        <f t="shared" si="88"/>
        <v>0.22000002861022949</v>
      </c>
      <c r="Q163" s="14">
        <f t="shared" si="88"/>
        <v>15371185.779999999</v>
      </c>
      <c r="R163" s="26">
        <f t="shared" si="60"/>
        <v>0.99999998568750648</v>
      </c>
      <c r="S163" s="14">
        <f>S164</f>
        <v>9525757.2599999998</v>
      </c>
      <c r="T163" s="10">
        <f t="shared" si="88"/>
        <v>9525757.2599999998</v>
      </c>
    </row>
    <row r="164" spans="1:20" ht="31.5" customHeight="1" x14ac:dyDescent="0.25">
      <c r="A164" s="94" t="s">
        <v>18</v>
      </c>
      <c r="B164" s="7" t="s">
        <v>97</v>
      </c>
      <c r="C164" s="7" t="s">
        <v>91</v>
      </c>
      <c r="D164" s="7">
        <v>10</v>
      </c>
      <c r="E164" s="7" t="s">
        <v>152</v>
      </c>
      <c r="F164" s="7" t="s">
        <v>180</v>
      </c>
      <c r="G164" s="23" t="s">
        <v>205</v>
      </c>
      <c r="H164" s="7" t="s">
        <v>5</v>
      </c>
      <c r="I164" s="8">
        <v>10</v>
      </c>
      <c r="J164" s="9">
        <v>330000000</v>
      </c>
      <c r="K164" s="9">
        <v>0</v>
      </c>
      <c r="L164" s="27">
        <v>0</v>
      </c>
      <c r="M164" s="44">
        <f>J164+K164-L164</f>
        <v>330000000</v>
      </c>
      <c r="N164" s="27">
        <v>314628814</v>
      </c>
      <c r="O164" s="27">
        <v>15371185.779999999</v>
      </c>
      <c r="P164" s="27">
        <f t="shared" ref="P164:P187" si="89">+M164-O164-N164</f>
        <v>0.22000002861022949</v>
      </c>
      <c r="Q164" s="9">
        <v>15371185.779999999</v>
      </c>
      <c r="R164" s="25">
        <f t="shared" si="60"/>
        <v>0.99999998568750648</v>
      </c>
      <c r="S164" s="9">
        <v>9525757.2599999998</v>
      </c>
      <c r="T164" s="10">
        <v>9525757.2599999998</v>
      </c>
    </row>
    <row r="165" spans="1:20" ht="31.5" customHeight="1" x14ac:dyDescent="0.25">
      <c r="A165" s="95" t="s">
        <v>18</v>
      </c>
      <c r="B165" s="11" t="s">
        <v>97</v>
      </c>
      <c r="C165" s="11" t="s">
        <v>91</v>
      </c>
      <c r="D165" s="11">
        <v>11</v>
      </c>
      <c r="E165" s="11"/>
      <c r="F165" s="11"/>
      <c r="G165" s="12" t="s">
        <v>226</v>
      </c>
      <c r="H165" s="11" t="s">
        <v>5</v>
      </c>
      <c r="I165" s="13">
        <v>10</v>
      </c>
      <c r="J165" s="14">
        <f>J166</f>
        <v>3793000000</v>
      </c>
      <c r="K165" s="14">
        <f t="shared" ref="K165:T165" si="90">K166</f>
        <v>0</v>
      </c>
      <c r="L165" s="24">
        <f t="shared" si="90"/>
        <v>0</v>
      </c>
      <c r="M165" s="48">
        <f t="shared" si="90"/>
        <v>3793000000</v>
      </c>
      <c r="N165" s="24">
        <f t="shared" si="90"/>
        <v>1008526523</v>
      </c>
      <c r="O165" s="24">
        <f t="shared" si="90"/>
        <v>2784473477</v>
      </c>
      <c r="P165" s="24">
        <f t="shared" si="90"/>
        <v>0</v>
      </c>
      <c r="Q165" s="14">
        <f t="shared" si="90"/>
        <v>0</v>
      </c>
      <c r="R165" s="26">
        <f t="shared" si="60"/>
        <v>0</v>
      </c>
      <c r="S165" s="14">
        <f t="shared" si="90"/>
        <v>0</v>
      </c>
      <c r="T165" s="22">
        <f t="shared" si="90"/>
        <v>0</v>
      </c>
    </row>
    <row r="166" spans="1:20" ht="31.5" customHeight="1" x14ac:dyDescent="0.25">
      <c r="A166" s="94" t="s">
        <v>18</v>
      </c>
      <c r="B166" s="7" t="s">
        <v>97</v>
      </c>
      <c r="C166" s="7" t="s">
        <v>91</v>
      </c>
      <c r="D166" s="7">
        <v>11</v>
      </c>
      <c r="E166" s="7" t="s">
        <v>152</v>
      </c>
      <c r="F166" s="7" t="s">
        <v>180</v>
      </c>
      <c r="G166" s="23" t="s">
        <v>206</v>
      </c>
      <c r="H166" s="7" t="s">
        <v>5</v>
      </c>
      <c r="I166" s="8">
        <v>10</v>
      </c>
      <c r="J166" s="9">
        <v>3793000000</v>
      </c>
      <c r="K166" s="9">
        <v>0</v>
      </c>
      <c r="L166" s="27">
        <v>0</v>
      </c>
      <c r="M166" s="44">
        <f t="shared" ref="M166:M187" si="91">J166+K166-L166</f>
        <v>3793000000</v>
      </c>
      <c r="N166" s="27">
        <v>1008526523</v>
      </c>
      <c r="O166" s="27">
        <v>2784473477</v>
      </c>
      <c r="P166" s="27">
        <f t="shared" si="89"/>
        <v>0</v>
      </c>
      <c r="Q166" s="9">
        <v>0</v>
      </c>
      <c r="R166" s="25">
        <f t="shared" si="60"/>
        <v>0</v>
      </c>
      <c r="S166" s="9">
        <v>0</v>
      </c>
      <c r="T166" s="10">
        <v>0</v>
      </c>
    </row>
    <row r="167" spans="1:20" ht="31.5" customHeight="1" x14ac:dyDescent="0.25">
      <c r="A167" s="95" t="s">
        <v>18</v>
      </c>
      <c r="B167" s="11" t="s">
        <v>97</v>
      </c>
      <c r="C167" s="99" t="s">
        <v>91</v>
      </c>
      <c r="D167" s="99" t="s">
        <v>94</v>
      </c>
      <c r="E167" s="11"/>
      <c r="F167" s="11"/>
      <c r="G167" s="12" t="s">
        <v>227</v>
      </c>
      <c r="H167" s="99" t="s">
        <v>5</v>
      </c>
      <c r="I167" s="100">
        <v>10</v>
      </c>
      <c r="J167" s="14">
        <f>J168</f>
        <v>500000000</v>
      </c>
      <c r="K167" s="14">
        <f t="shared" ref="K167:T167" si="92">K168</f>
        <v>0</v>
      </c>
      <c r="L167" s="24">
        <f t="shared" si="92"/>
        <v>0</v>
      </c>
      <c r="M167" s="48">
        <f t="shared" si="92"/>
        <v>500000000</v>
      </c>
      <c r="N167" s="24">
        <f t="shared" si="92"/>
        <v>0</v>
      </c>
      <c r="O167" s="24">
        <f t="shared" si="92"/>
        <v>349978405</v>
      </c>
      <c r="P167" s="24">
        <f t="shared" si="92"/>
        <v>150021595</v>
      </c>
      <c r="Q167" s="14">
        <f t="shared" si="92"/>
        <v>349978405</v>
      </c>
      <c r="R167" s="26">
        <f t="shared" si="60"/>
        <v>0.69995680999999998</v>
      </c>
      <c r="S167" s="14">
        <f t="shared" si="92"/>
        <v>0</v>
      </c>
      <c r="T167" s="22">
        <f t="shared" si="92"/>
        <v>0</v>
      </c>
    </row>
    <row r="168" spans="1:20" ht="42.75" customHeight="1" x14ac:dyDescent="0.25">
      <c r="A168" s="94" t="s">
        <v>18</v>
      </c>
      <c r="B168" s="7" t="s">
        <v>97</v>
      </c>
      <c r="C168" s="56" t="s">
        <v>91</v>
      </c>
      <c r="D168" s="56" t="s">
        <v>94</v>
      </c>
      <c r="E168" s="56" t="s">
        <v>156</v>
      </c>
      <c r="F168" s="56" t="s">
        <v>181</v>
      </c>
      <c r="G168" s="23" t="s">
        <v>207</v>
      </c>
      <c r="H168" s="56" t="s">
        <v>5</v>
      </c>
      <c r="I168" s="57">
        <v>10</v>
      </c>
      <c r="J168" s="44">
        <v>500000000</v>
      </c>
      <c r="K168" s="44">
        <v>0</v>
      </c>
      <c r="L168" s="44">
        <v>0</v>
      </c>
      <c r="M168" s="44">
        <f t="shared" si="91"/>
        <v>500000000</v>
      </c>
      <c r="N168" s="44">
        <v>0</v>
      </c>
      <c r="O168" s="44">
        <v>349978405</v>
      </c>
      <c r="P168" s="27">
        <f t="shared" si="89"/>
        <v>150021595</v>
      </c>
      <c r="Q168" s="58">
        <v>349978405</v>
      </c>
      <c r="R168" s="25">
        <f t="shared" si="60"/>
        <v>0.69995680999999998</v>
      </c>
      <c r="S168" s="58">
        <v>0</v>
      </c>
      <c r="T168" s="59">
        <v>0</v>
      </c>
    </row>
    <row r="169" spans="1:20" ht="42.75" customHeight="1" x14ac:dyDescent="0.25">
      <c r="A169" s="95" t="s">
        <v>18</v>
      </c>
      <c r="B169" s="99" t="s">
        <v>97</v>
      </c>
      <c r="C169" s="99" t="s">
        <v>91</v>
      </c>
      <c r="D169" s="99" t="s">
        <v>95</v>
      </c>
      <c r="E169" s="99"/>
      <c r="F169" s="99"/>
      <c r="G169" s="12" t="s">
        <v>228</v>
      </c>
      <c r="H169" s="99" t="s">
        <v>5</v>
      </c>
      <c r="I169" s="100">
        <v>10</v>
      </c>
      <c r="J169" s="48">
        <f>J170+J171</f>
        <v>12782494000</v>
      </c>
      <c r="K169" s="48">
        <f t="shared" ref="K169:T169" si="93">K170+K171</f>
        <v>0</v>
      </c>
      <c r="L169" s="48">
        <f t="shared" si="93"/>
        <v>0</v>
      </c>
      <c r="M169" s="48">
        <f t="shared" si="93"/>
        <v>12782494000</v>
      </c>
      <c r="N169" s="48">
        <f t="shared" si="93"/>
        <v>0</v>
      </c>
      <c r="O169" s="48">
        <f t="shared" si="93"/>
        <v>11371937106.280001</v>
      </c>
      <c r="P169" s="24">
        <f t="shared" si="93"/>
        <v>1410556893.7199993</v>
      </c>
      <c r="Q169" s="101">
        <f t="shared" si="93"/>
        <v>11008937106.280001</v>
      </c>
      <c r="R169" s="26">
        <f t="shared" si="60"/>
        <v>0.86125110688727891</v>
      </c>
      <c r="S169" s="101">
        <f t="shared" si="93"/>
        <v>7499392379.29</v>
      </c>
      <c r="T169" s="102">
        <f t="shared" si="93"/>
        <v>7499392379.29</v>
      </c>
    </row>
    <row r="170" spans="1:20" ht="33" customHeight="1" x14ac:dyDescent="0.25">
      <c r="A170" s="94" t="s">
        <v>18</v>
      </c>
      <c r="B170" s="56" t="s">
        <v>97</v>
      </c>
      <c r="C170" s="56" t="s">
        <v>91</v>
      </c>
      <c r="D170" s="56" t="s">
        <v>95</v>
      </c>
      <c r="E170" s="56" t="s">
        <v>156</v>
      </c>
      <c r="F170" s="56" t="s">
        <v>178</v>
      </c>
      <c r="G170" s="23" t="s">
        <v>208</v>
      </c>
      <c r="H170" s="56" t="s">
        <v>5</v>
      </c>
      <c r="I170" s="57">
        <v>10</v>
      </c>
      <c r="J170" s="58">
        <v>390000000</v>
      </c>
      <c r="K170" s="58">
        <v>0</v>
      </c>
      <c r="L170" s="44">
        <v>0</v>
      </c>
      <c r="M170" s="44">
        <f t="shared" si="91"/>
        <v>390000000</v>
      </c>
      <c r="N170" s="44">
        <v>0</v>
      </c>
      <c r="O170" s="44">
        <v>27089084</v>
      </c>
      <c r="P170" s="27">
        <f t="shared" si="89"/>
        <v>362910916</v>
      </c>
      <c r="Q170" s="58">
        <v>27089084</v>
      </c>
      <c r="R170" s="25">
        <f t="shared" si="60"/>
        <v>6.945918974358975E-2</v>
      </c>
      <c r="S170" s="58">
        <v>25080958.989999998</v>
      </c>
      <c r="T170" s="59">
        <v>25080958.989999998</v>
      </c>
    </row>
    <row r="171" spans="1:20" ht="47.25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156</v>
      </c>
      <c r="F171" s="56" t="s">
        <v>179</v>
      </c>
      <c r="G171" s="23" t="s">
        <v>209</v>
      </c>
      <c r="H171" s="56" t="s">
        <v>5</v>
      </c>
      <c r="I171" s="57">
        <v>10</v>
      </c>
      <c r="J171" s="58">
        <v>12392494000</v>
      </c>
      <c r="K171" s="58">
        <v>0</v>
      </c>
      <c r="L171" s="44">
        <v>0</v>
      </c>
      <c r="M171" s="44">
        <f t="shared" si="91"/>
        <v>12392494000</v>
      </c>
      <c r="N171" s="44">
        <v>0</v>
      </c>
      <c r="O171" s="44">
        <v>11344848022.280001</v>
      </c>
      <c r="P171" s="27">
        <f t="shared" ref="P171" si="94">+M171-O171-N171</f>
        <v>1047645977.7199993</v>
      </c>
      <c r="Q171" s="58">
        <v>10981848022.280001</v>
      </c>
      <c r="R171" s="25">
        <f t="shared" si="60"/>
        <v>0.8861693233242639</v>
      </c>
      <c r="S171" s="58">
        <v>7474311420.3000002</v>
      </c>
      <c r="T171" s="59">
        <v>7474311420.3000002</v>
      </c>
    </row>
    <row r="172" spans="1:20" ht="47.25" customHeight="1" x14ac:dyDescent="0.25">
      <c r="A172" s="95" t="s">
        <v>18</v>
      </c>
      <c r="B172" s="99" t="s">
        <v>97</v>
      </c>
      <c r="C172" s="99" t="s">
        <v>91</v>
      </c>
      <c r="D172" s="99" t="s">
        <v>96</v>
      </c>
      <c r="E172" s="99"/>
      <c r="F172" s="99"/>
      <c r="G172" s="12" t="s">
        <v>229</v>
      </c>
      <c r="H172" s="99" t="s">
        <v>5</v>
      </c>
      <c r="I172" s="100">
        <v>10</v>
      </c>
      <c r="J172" s="101">
        <f>J173+J174</f>
        <v>5000000000</v>
      </c>
      <c r="K172" s="101">
        <f t="shared" ref="K172:T172" si="95">K173+K174</f>
        <v>0</v>
      </c>
      <c r="L172" s="48">
        <f t="shared" si="95"/>
        <v>0</v>
      </c>
      <c r="M172" s="48">
        <f t="shared" si="95"/>
        <v>5000000000</v>
      </c>
      <c r="N172" s="48">
        <f t="shared" si="95"/>
        <v>0</v>
      </c>
      <c r="O172" s="48">
        <f t="shared" si="95"/>
        <v>4949706203.9699993</v>
      </c>
      <c r="P172" s="24">
        <f t="shared" si="95"/>
        <v>50293796.03000021</v>
      </c>
      <c r="Q172" s="101">
        <f t="shared" si="95"/>
        <v>4520512746.9699993</v>
      </c>
      <c r="R172" s="26">
        <f t="shared" si="60"/>
        <v>0.90410254939399981</v>
      </c>
      <c r="S172" s="101">
        <f t="shared" si="95"/>
        <v>954743030.19000006</v>
      </c>
      <c r="T172" s="102">
        <f t="shared" si="95"/>
        <v>954743030.19000006</v>
      </c>
    </row>
    <row r="173" spans="1:20" ht="41.25" customHeight="1" x14ac:dyDescent="0.25">
      <c r="A173" s="94" t="s">
        <v>18</v>
      </c>
      <c r="B173" s="56" t="s">
        <v>97</v>
      </c>
      <c r="C173" s="56" t="s">
        <v>91</v>
      </c>
      <c r="D173" s="56" t="s">
        <v>96</v>
      </c>
      <c r="E173" s="56" t="s">
        <v>156</v>
      </c>
      <c r="F173" s="56" t="s">
        <v>182</v>
      </c>
      <c r="G173" s="23" t="s">
        <v>210</v>
      </c>
      <c r="H173" s="56" t="s">
        <v>5</v>
      </c>
      <c r="I173" s="57">
        <v>10</v>
      </c>
      <c r="J173" s="58">
        <v>1100000000</v>
      </c>
      <c r="K173" s="58">
        <v>0</v>
      </c>
      <c r="L173" s="44">
        <v>0</v>
      </c>
      <c r="M173" s="44">
        <f t="shared" si="91"/>
        <v>1100000000</v>
      </c>
      <c r="N173" s="44">
        <v>0</v>
      </c>
      <c r="O173" s="44">
        <v>1084079395</v>
      </c>
      <c r="P173" s="27">
        <f t="shared" si="89"/>
        <v>15920605</v>
      </c>
      <c r="Q173" s="58">
        <v>920631538</v>
      </c>
      <c r="R173" s="25">
        <f t="shared" si="60"/>
        <v>0.8369377618181818</v>
      </c>
      <c r="S173" s="58">
        <v>173067670</v>
      </c>
      <c r="T173" s="59">
        <v>173067670</v>
      </c>
    </row>
    <row r="174" spans="1:20" ht="47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156</v>
      </c>
      <c r="F174" s="56" t="s">
        <v>179</v>
      </c>
      <c r="G174" s="23" t="s">
        <v>211</v>
      </c>
      <c r="H174" s="56" t="s">
        <v>5</v>
      </c>
      <c r="I174" s="57">
        <v>10</v>
      </c>
      <c r="J174" s="58">
        <v>3900000000</v>
      </c>
      <c r="K174" s="58">
        <v>0</v>
      </c>
      <c r="L174" s="44">
        <v>0</v>
      </c>
      <c r="M174" s="44">
        <f t="shared" si="91"/>
        <v>3900000000</v>
      </c>
      <c r="N174" s="44">
        <v>0</v>
      </c>
      <c r="O174" s="44">
        <v>3865626808.9699998</v>
      </c>
      <c r="P174" s="27">
        <f t="shared" ref="P174" si="96">+M174-O174-N174</f>
        <v>34373191.03000021</v>
      </c>
      <c r="Q174" s="58">
        <v>3599881208.9699998</v>
      </c>
      <c r="R174" s="25">
        <f t="shared" si="60"/>
        <v>0.92304646383846145</v>
      </c>
      <c r="S174" s="58">
        <v>781675360.19000006</v>
      </c>
      <c r="T174" s="59">
        <v>781675360.19000006</v>
      </c>
    </row>
    <row r="175" spans="1:20" ht="47.25" customHeight="1" x14ac:dyDescent="0.25">
      <c r="A175" s="95" t="s">
        <v>18</v>
      </c>
      <c r="B175" s="99" t="s">
        <v>97</v>
      </c>
      <c r="C175" s="99" t="s">
        <v>91</v>
      </c>
      <c r="D175" s="99" t="s">
        <v>98</v>
      </c>
      <c r="E175" s="99"/>
      <c r="F175" s="99"/>
      <c r="G175" s="12" t="s">
        <v>230</v>
      </c>
      <c r="H175" s="99" t="s">
        <v>5</v>
      </c>
      <c r="I175" s="100">
        <v>10</v>
      </c>
      <c r="J175" s="101">
        <f>J176</f>
        <v>70000000</v>
      </c>
      <c r="K175" s="101">
        <f t="shared" ref="K175:T175" si="97">K176</f>
        <v>0</v>
      </c>
      <c r="L175" s="48">
        <f t="shared" si="97"/>
        <v>0</v>
      </c>
      <c r="M175" s="48">
        <f t="shared" si="97"/>
        <v>70000000</v>
      </c>
      <c r="N175" s="48">
        <f t="shared" si="97"/>
        <v>86400</v>
      </c>
      <c r="O175" s="48">
        <f t="shared" si="97"/>
        <v>69913600</v>
      </c>
      <c r="P175" s="24">
        <f t="shared" si="97"/>
        <v>0</v>
      </c>
      <c r="Q175" s="101">
        <f t="shared" si="97"/>
        <v>69913600</v>
      </c>
      <c r="R175" s="26">
        <f t="shared" si="60"/>
        <v>1</v>
      </c>
      <c r="S175" s="101">
        <f t="shared" si="97"/>
        <v>41948160</v>
      </c>
      <c r="T175" s="102">
        <f t="shared" si="97"/>
        <v>41948160</v>
      </c>
    </row>
    <row r="176" spans="1:20" ht="39" customHeight="1" x14ac:dyDescent="0.25">
      <c r="A176" s="94" t="s">
        <v>18</v>
      </c>
      <c r="B176" s="56" t="s">
        <v>97</v>
      </c>
      <c r="C176" s="56" t="s">
        <v>91</v>
      </c>
      <c r="D176" s="56" t="s">
        <v>98</v>
      </c>
      <c r="E176" s="56" t="s">
        <v>156</v>
      </c>
      <c r="F176" s="56" t="s">
        <v>183</v>
      </c>
      <c r="G176" s="23" t="s">
        <v>212</v>
      </c>
      <c r="H176" s="56" t="s">
        <v>5</v>
      </c>
      <c r="I176" s="57">
        <v>10</v>
      </c>
      <c r="J176" s="58">
        <v>70000000</v>
      </c>
      <c r="K176" s="58">
        <v>0</v>
      </c>
      <c r="L176" s="44">
        <v>0</v>
      </c>
      <c r="M176" s="44">
        <f t="shared" si="91"/>
        <v>70000000</v>
      </c>
      <c r="N176" s="44">
        <v>86400</v>
      </c>
      <c r="O176" s="44">
        <v>69913600</v>
      </c>
      <c r="P176" s="27">
        <f t="shared" si="89"/>
        <v>0</v>
      </c>
      <c r="Q176" s="58">
        <v>69913600</v>
      </c>
      <c r="R176" s="25">
        <f t="shared" si="60"/>
        <v>1</v>
      </c>
      <c r="S176" s="58">
        <v>41948160</v>
      </c>
      <c r="T176" s="59">
        <v>41948160</v>
      </c>
    </row>
    <row r="177" spans="1:20" ht="39" customHeight="1" x14ac:dyDescent="0.25">
      <c r="A177" s="95" t="s">
        <v>18</v>
      </c>
      <c r="B177" s="99" t="s">
        <v>97</v>
      </c>
      <c r="C177" s="99" t="s">
        <v>91</v>
      </c>
      <c r="D177" s="99" t="s">
        <v>99</v>
      </c>
      <c r="E177" s="99"/>
      <c r="F177" s="99"/>
      <c r="G177" s="12" t="s">
        <v>231</v>
      </c>
      <c r="H177" s="99" t="s">
        <v>5</v>
      </c>
      <c r="I177" s="100">
        <v>10</v>
      </c>
      <c r="J177" s="101">
        <f>J178</f>
        <v>2566000000</v>
      </c>
      <c r="K177" s="101">
        <f t="shared" ref="K177:T177" si="98">K178</f>
        <v>0</v>
      </c>
      <c r="L177" s="48">
        <f t="shared" si="98"/>
        <v>0</v>
      </c>
      <c r="M177" s="48">
        <f t="shared" si="98"/>
        <v>2566000000</v>
      </c>
      <c r="N177" s="48">
        <f t="shared" si="98"/>
        <v>0</v>
      </c>
      <c r="O177" s="48">
        <f t="shared" si="98"/>
        <v>0</v>
      </c>
      <c r="P177" s="24">
        <f t="shared" si="98"/>
        <v>2566000000</v>
      </c>
      <c r="Q177" s="101">
        <f t="shared" si="98"/>
        <v>0</v>
      </c>
      <c r="R177" s="26">
        <f t="shared" si="60"/>
        <v>0</v>
      </c>
      <c r="S177" s="101">
        <f t="shared" si="98"/>
        <v>0</v>
      </c>
      <c r="T177" s="102">
        <f t="shared" si="98"/>
        <v>0</v>
      </c>
    </row>
    <row r="178" spans="1:20" ht="32.25" customHeight="1" x14ac:dyDescent="0.25">
      <c r="A178" s="94" t="s">
        <v>18</v>
      </c>
      <c r="B178" s="56" t="s">
        <v>97</v>
      </c>
      <c r="C178" s="56" t="s">
        <v>91</v>
      </c>
      <c r="D178" s="56" t="s">
        <v>99</v>
      </c>
      <c r="E178" s="56" t="s">
        <v>152</v>
      </c>
      <c r="F178" s="56" t="s">
        <v>184</v>
      </c>
      <c r="G178" s="23" t="s">
        <v>213</v>
      </c>
      <c r="H178" s="56" t="s">
        <v>5</v>
      </c>
      <c r="I178" s="57">
        <v>10</v>
      </c>
      <c r="J178" s="58">
        <v>2566000000</v>
      </c>
      <c r="K178" s="58">
        <v>0</v>
      </c>
      <c r="L178" s="44">
        <v>0</v>
      </c>
      <c r="M178" s="44">
        <f t="shared" si="91"/>
        <v>2566000000</v>
      </c>
      <c r="N178" s="44">
        <v>0</v>
      </c>
      <c r="O178" s="44">
        <v>0</v>
      </c>
      <c r="P178" s="27">
        <f t="shared" si="89"/>
        <v>2566000000</v>
      </c>
      <c r="Q178" s="58">
        <v>0</v>
      </c>
      <c r="R178" s="25">
        <f t="shared" si="60"/>
        <v>0</v>
      </c>
      <c r="S178" s="58">
        <v>0</v>
      </c>
      <c r="T178" s="59">
        <v>0</v>
      </c>
    </row>
    <row r="179" spans="1:20" s="103" customFormat="1" ht="32.25" customHeight="1" x14ac:dyDescent="0.25">
      <c r="A179" s="95" t="s">
        <v>18</v>
      </c>
      <c r="B179" s="99" t="s">
        <v>97</v>
      </c>
      <c r="C179" s="99" t="s">
        <v>91</v>
      </c>
      <c r="D179" s="99" t="s">
        <v>100</v>
      </c>
      <c r="E179" s="99"/>
      <c r="F179" s="99"/>
      <c r="G179" s="12" t="s">
        <v>232</v>
      </c>
      <c r="H179" s="99" t="s">
        <v>5</v>
      </c>
      <c r="I179" s="100">
        <v>10</v>
      </c>
      <c r="J179" s="101">
        <f>J180</f>
        <v>700000000</v>
      </c>
      <c r="K179" s="101">
        <f t="shared" ref="K179:T179" si="99">K180</f>
        <v>0</v>
      </c>
      <c r="L179" s="48">
        <f t="shared" si="99"/>
        <v>0</v>
      </c>
      <c r="M179" s="48">
        <f t="shared" si="99"/>
        <v>700000000</v>
      </c>
      <c r="N179" s="48">
        <f t="shared" si="99"/>
        <v>34526</v>
      </c>
      <c r="O179" s="48">
        <f t="shared" si="99"/>
        <v>699965474</v>
      </c>
      <c r="P179" s="24">
        <f t="shared" si="99"/>
        <v>0</v>
      </c>
      <c r="Q179" s="101">
        <f t="shared" si="99"/>
        <v>699965474</v>
      </c>
      <c r="R179" s="26">
        <f t="shared" si="60"/>
        <v>1</v>
      </c>
      <c r="S179" s="101">
        <f t="shared" si="99"/>
        <v>205124986.88</v>
      </c>
      <c r="T179" s="102">
        <f t="shared" si="99"/>
        <v>205124986.88</v>
      </c>
    </row>
    <row r="180" spans="1:20" ht="44.25" customHeight="1" x14ac:dyDescent="0.25">
      <c r="A180" s="94" t="s">
        <v>18</v>
      </c>
      <c r="B180" s="56" t="s">
        <v>97</v>
      </c>
      <c r="C180" s="56" t="s">
        <v>91</v>
      </c>
      <c r="D180" s="56" t="s">
        <v>100</v>
      </c>
      <c r="E180" s="56" t="s">
        <v>156</v>
      </c>
      <c r="F180" s="56" t="s">
        <v>182</v>
      </c>
      <c r="G180" s="23" t="s">
        <v>214</v>
      </c>
      <c r="H180" s="56" t="s">
        <v>5</v>
      </c>
      <c r="I180" s="57">
        <v>10</v>
      </c>
      <c r="J180" s="58">
        <v>700000000</v>
      </c>
      <c r="K180" s="58">
        <v>0</v>
      </c>
      <c r="L180" s="44">
        <v>0</v>
      </c>
      <c r="M180" s="44">
        <f t="shared" si="91"/>
        <v>700000000</v>
      </c>
      <c r="N180" s="44">
        <v>34526</v>
      </c>
      <c r="O180" s="44">
        <v>699965474</v>
      </c>
      <c r="P180" s="27">
        <f t="shared" si="89"/>
        <v>0</v>
      </c>
      <c r="Q180" s="58">
        <v>699965474</v>
      </c>
      <c r="R180" s="25">
        <f t="shared" si="60"/>
        <v>1</v>
      </c>
      <c r="S180" s="58">
        <v>205124986.88</v>
      </c>
      <c r="T180" s="59">
        <v>205124986.88</v>
      </c>
    </row>
    <row r="181" spans="1:20" ht="44.25" customHeight="1" x14ac:dyDescent="0.25">
      <c r="A181" s="95" t="s">
        <v>18</v>
      </c>
      <c r="B181" s="99" t="s">
        <v>97</v>
      </c>
      <c r="C181" s="11" t="s">
        <v>91</v>
      </c>
      <c r="D181" s="11" t="s">
        <v>101</v>
      </c>
      <c r="E181" s="99"/>
      <c r="F181" s="99"/>
      <c r="G181" s="12" t="s">
        <v>233</v>
      </c>
      <c r="H181" s="11" t="s">
        <v>5</v>
      </c>
      <c r="I181" s="13">
        <v>10</v>
      </c>
      <c r="J181" s="101">
        <f>J182</f>
        <v>4700774679</v>
      </c>
      <c r="K181" s="101">
        <f t="shared" ref="K181:T181" si="100">K182</f>
        <v>0</v>
      </c>
      <c r="L181" s="48">
        <f t="shared" si="100"/>
        <v>0</v>
      </c>
      <c r="M181" s="48">
        <f t="shared" si="100"/>
        <v>4700774679</v>
      </c>
      <c r="N181" s="48">
        <f t="shared" si="100"/>
        <v>0</v>
      </c>
      <c r="O181" s="48">
        <f t="shared" si="100"/>
        <v>4395068728.5699997</v>
      </c>
      <c r="P181" s="24">
        <f t="shared" si="100"/>
        <v>305705950.43000031</v>
      </c>
      <c r="Q181" s="101">
        <f t="shared" si="100"/>
        <v>766113527.57000005</v>
      </c>
      <c r="R181" s="26">
        <f t="shared" si="60"/>
        <v>0.16297601563259273</v>
      </c>
      <c r="S181" s="101">
        <f t="shared" si="100"/>
        <v>59139998.390000001</v>
      </c>
      <c r="T181" s="102">
        <f t="shared" si="100"/>
        <v>59139998.390000001</v>
      </c>
    </row>
    <row r="182" spans="1:20" ht="42" customHeight="1" x14ac:dyDescent="0.25">
      <c r="A182" s="94" t="s">
        <v>18</v>
      </c>
      <c r="B182" s="56" t="s">
        <v>97</v>
      </c>
      <c r="C182" s="7" t="s">
        <v>91</v>
      </c>
      <c r="D182" s="7" t="s">
        <v>101</v>
      </c>
      <c r="E182" s="7" t="s">
        <v>152</v>
      </c>
      <c r="F182" s="7" t="s">
        <v>182</v>
      </c>
      <c r="G182" s="23" t="s">
        <v>215</v>
      </c>
      <c r="H182" s="7" t="s">
        <v>5</v>
      </c>
      <c r="I182" s="8">
        <v>10</v>
      </c>
      <c r="J182" s="9">
        <v>4700774679</v>
      </c>
      <c r="K182" s="9">
        <v>0</v>
      </c>
      <c r="L182" s="27">
        <v>0</v>
      </c>
      <c r="M182" s="44">
        <f t="shared" si="91"/>
        <v>4700774679</v>
      </c>
      <c r="N182" s="27">
        <v>0</v>
      </c>
      <c r="O182" s="27">
        <v>4395068728.5699997</v>
      </c>
      <c r="P182" s="27">
        <f t="shared" si="89"/>
        <v>305705950.43000031</v>
      </c>
      <c r="Q182" s="9">
        <v>766113527.57000005</v>
      </c>
      <c r="R182" s="25">
        <f t="shared" si="60"/>
        <v>0.16297601563259273</v>
      </c>
      <c r="S182" s="9">
        <v>59139998.390000001</v>
      </c>
      <c r="T182" s="10">
        <v>59139998.390000001</v>
      </c>
    </row>
    <row r="183" spans="1:20" ht="42" customHeight="1" x14ac:dyDescent="0.25">
      <c r="A183" s="95" t="s">
        <v>18</v>
      </c>
      <c r="B183" s="99" t="s">
        <v>97</v>
      </c>
      <c r="C183" s="11" t="s">
        <v>91</v>
      </c>
      <c r="D183" s="11" t="s">
        <v>102</v>
      </c>
      <c r="E183" s="11"/>
      <c r="F183" s="11"/>
      <c r="G183" s="12" t="s">
        <v>234</v>
      </c>
      <c r="H183" s="11" t="s">
        <v>5</v>
      </c>
      <c r="I183" s="13">
        <v>10</v>
      </c>
      <c r="J183" s="14">
        <f>J184+J185</f>
        <v>500000000</v>
      </c>
      <c r="K183" s="14">
        <f t="shared" ref="K183:T183" si="101">K184+K185</f>
        <v>42991612</v>
      </c>
      <c r="L183" s="24">
        <f t="shared" si="101"/>
        <v>42991612</v>
      </c>
      <c r="M183" s="48">
        <f t="shared" si="101"/>
        <v>500000000</v>
      </c>
      <c r="N183" s="24">
        <f t="shared" si="101"/>
        <v>0</v>
      </c>
      <c r="O183" s="24">
        <f t="shared" si="101"/>
        <v>475535556</v>
      </c>
      <c r="P183" s="24">
        <f t="shared" si="101"/>
        <v>24464444</v>
      </c>
      <c r="Q183" s="14">
        <f t="shared" si="101"/>
        <v>451151975</v>
      </c>
      <c r="R183" s="26">
        <f t="shared" si="60"/>
        <v>0.90230394999999997</v>
      </c>
      <c r="S183" s="14">
        <f t="shared" si="101"/>
        <v>223724382</v>
      </c>
      <c r="T183" s="22">
        <f t="shared" si="101"/>
        <v>223724382</v>
      </c>
    </row>
    <row r="184" spans="1:20" ht="39" customHeight="1" x14ac:dyDescent="0.25">
      <c r="A184" s="94" t="s">
        <v>18</v>
      </c>
      <c r="B184" s="56" t="s">
        <v>97</v>
      </c>
      <c r="C184" s="7" t="s">
        <v>91</v>
      </c>
      <c r="D184" s="7" t="s">
        <v>102</v>
      </c>
      <c r="E184" s="7" t="s">
        <v>156</v>
      </c>
      <c r="F184" s="7" t="s">
        <v>185</v>
      </c>
      <c r="G184" s="23" t="s">
        <v>216</v>
      </c>
      <c r="H184" s="7" t="s">
        <v>5</v>
      </c>
      <c r="I184" s="8">
        <v>10</v>
      </c>
      <c r="J184" s="9">
        <v>180000000</v>
      </c>
      <c r="K184" s="9">
        <v>0</v>
      </c>
      <c r="L184" s="27">
        <v>42991612</v>
      </c>
      <c r="M184" s="44">
        <f t="shared" si="91"/>
        <v>137008388</v>
      </c>
      <c r="N184" s="27">
        <v>0</v>
      </c>
      <c r="O184" s="27">
        <v>130005331</v>
      </c>
      <c r="P184" s="27">
        <f t="shared" si="89"/>
        <v>7003057</v>
      </c>
      <c r="Q184" s="9">
        <v>130005331</v>
      </c>
      <c r="R184" s="25">
        <f t="shared" si="60"/>
        <v>0.94888592514496262</v>
      </c>
      <c r="S184" s="9">
        <v>64605446</v>
      </c>
      <c r="T184" s="10">
        <v>64605446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156</v>
      </c>
      <c r="F185" s="7" t="s">
        <v>182</v>
      </c>
      <c r="G185" s="23" t="s">
        <v>217</v>
      </c>
      <c r="H185" s="7" t="s">
        <v>5</v>
      </c>
      <c r="I185" s="8">
        <v>10</v>
      </c>
      <c r="J185" s="9">
        <v>320000000</v>
      </c>
      <c r="K185" s="9">
        <v>42991612</v>
      </c>
      <c r="L185" s="27">
        <v>0</v>
      </c>
      <c r="M185" s="44">
        <f t="shared" si="91"/>
        <v>362991612</v>
      </c>
      <c r="N185" s="27">
        <v>0</v>
      </c>
      <c r="O185" s="27">
        <v>345530225</v>
      </c>
      <c r="P185" s="27">
        <f t="shared" ref="P185" si="102">+M185-O185-N185</f>
        <v>17461387</v>
      </c>
      <c r="Q185" s="9">
        <v>321146644</v>
      </c>
      <c r="R185" s="25">
        <f t="shared" si="60"/>
        <v>0.88472194228003265</v>
      </c>
      <c r="S185" s="9">
        <v>159118936</v>
      </c>
      <c r="T185" s="10">
        <v>159118936</v>
      </c>
    </row>
    <row r="186" spans="1:20" ht="39" customHeight="1" x14ac:dyDescent="0.25">
      <c r="A186" s="95" t="s">
        <v>18</v>
      </c>
      <c r="B186" s="11" t="s">
        <v>97</v>
      </c>
      <c r="C186" s="11" t="s">
        <v>91</v>
      </c>
      <c r="D186" s="11">
        <v>24</v>
      </c>
      <c r="E186" s="11"/>
      <c r="F186" s="11"/>
      <c r="G186" s="12" t="s">
        <v>235</v>
      </c>
      <c r="H186" s="11" t="s">
        <v>5</v>
      </c>
      <c r="I186" s="13">
        <v>10</v>
      </c>
      <c r="J186" s="14">
        <f>J187</f>
        <v>4397847000</v>
      </c>
      <c r="K186" s="14">
        <f t="shared" ref="K186:T186" si="103">K187</f>
        <v>0</v>
      </c>
      <c r="L186" s="24">
        <f t="shared" si="103"/>
        <v>0</v>
      </c>
      <c r="M186" s="48">
        <f t="shared" si="103"/>
        <v>4397847000</v>
      </c>
      <c r="N186" s="24">
        <f t="shared" si="103"/>
        <v>0</v>
      </c>
      <c r="O186" s="24">
        <f t="shared" si="103"/>
        <v>0</v>
      </c>
      <c r="P186" s="24">
        <f t="shared" si="103"/>
        <v>4397847000</v>
      </c>
      <c r="Q186" s="14">
        <f t="shared" si="103"/>
        <v>0</v>
      </c>
      <c r="R186" s="26">
        <f t="shared" si="60"/>
        <v>0</v>
      </c>
      <c r="S186" s="14">
        <f t="shared" si="103"/>
        <v>0</v>
      </c>
      <c r="T186" s="22">
        <f t="shared" si="103"/>
        <v>0</v>
      </c>
    </row>
    <row r="187" spans="1:20" ht="32.25" customHeight="1" x14ac:dyDescent="0.25">
      <c r="A187" s="94" t="s">
        <v>18</v>
      </c>
      <c r="B187" s="7" t="s">
        <v>97</v>
      </c>
      <c r="C187" s="7" t="s">
        <v>91</v>
      </c>
      <c r="D187" s="7">
        <v>24</v>
      </c>
      <c r="E187" s="7" t="s">
        <v>152</v>
      </c>
      <c r="F187" s="7" t="s">
        <v>180</v>
      </c>
      <c r="G187" s="23" t="s">
        <v>218</v>
      </c>
      <c r="H187" s="7" t="s">
        <v>5</v>
      </c>
      <c r="I187" s="8">
        <v>10</v>
      </c>
      <c r="J187" s="9">
        <v>4397847000</v>
      </c>
      <c r="K187" s="9">
        <v>0</v>
      </c>
      <c r="L187" s="27">
        <v>0</v>
      </c>
      <c r="M187" s="44">
        <f t="shared" si="91"/>
        <v>4397847000</v>
      </c>
      <c r="N187" s="27">
        <v>0</v>
      </c>
      <c r="O187" s="27">
        <v>0</v>
      </c>
      <c r="P187" s="27">
        <f t="shared" si="89"/>
        <v>4397847000</v>
      </c>
      <c r="Q187" s="9">
        <v>0</v>
      </c>
      <c r="R187" s="25">
        <f t="shared" si="60"/>
        <v>0</v>
      </c>
      <c r="S187" s="9">
        <v>0</v>
      </c>
      <c r="T187" s="10"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5</v>
      </c>
      <c r="I188" s="83">
        <v>10</v>
      </c>
      <c r="J188" s="64">
        <f t="shared" ref="J188:T188" si="104">J124+J161</f>
        <v>80670115679</v>
      </c>
      <c r="K188" s="64">
        <f t="shared" si="104"/>
        <v>805953742</v>
      </c>
      <c r="L188" s="64">
        <f t="shared" si="104"/>
        <v>805953742</v>
      </c>
      <c r="M188" s="64">
        <f t="shared" si="104"/>
        <v>80670115679</v>
      </c>
      <c r="N188" s="3">
        <f t="shared" si="104"/>
        <v>7805059000</v>
      </c>
      <c r="O188" s="64">
        <f t="shared" si="104"/>
        <v>61635802376.300003</v>
      </c>
      <c r="P188" s="64">
        <f t="shared" si="104"/>
        <v>11229254302.700001</v>
      </c>
      <c r="Q188" s="64">
        <f>Q124+Q161</f>
        <v>48934661546.300003</v>
      </c>
      <c r="R188" s="76">
        <f>IF(Q188&gt;1,Q188/(M188-N188),0)</f>
        <v>0.67157926963368664</v>
      </c>
      <c r="S188" s="64">
        <f t="shared" si="104"/>
        <v>15339677457.709999</v>
      </c>
      <c r="T188" s="73">
        <f t="shared" si="104"/>
        <v>15339677457.709999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11</v>
      </c>
      <c r="J189" s="64">
        <f t="shared" ref="J189:Q190" si="105">J125</f>
        <v>9015000000</v>
      </c>
      <c r="K189" s="64">
        <f t="shared" si="105"/>
        <v>0</v>
      </c>
      <c r="L189" s="64">
        <f t="shared" si="105"/>
        <v>0</v>
      </c>
      <c r="M189" s="64">
        <f t="shared" si="105"/>
        <v>9015000000</v>
      </c>
      <c r="N189" s="3">
        <f t="shared" si="105"/>
        <v>0</v>
      </c>
      <c r="O189" s="64">
        <f>O125</f>
        <v>8734414184.6900005</v>
      </c>
      <c r="P189" s="64">
        <f t="shared" si="105"/>
        <v>280585815.30999994</v>
      </c>
      <c r="Q189" s="64">
        <f>Q125</f>
        <v>7804357566.6900005</v>
      </c>
      <c r="R189" s="76">
        <f t="shared" ref="R189:R193" si="106">IF(Q189&gt;1,Q189/(M189-N189),0)</f>
        <v>0.86570799408652255</v>
      </c>
      <c r="S189" s="64">
        <f t="shared" ref="S189:T189" si="107">S125</f>
        <v>47600000</v>
      </c>
      <c r="T189" s="73">
        <f t="shared" si="107"/>
        <v>47600000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8</v>
      </c>
      <c r="I190" s="83">
        <v>20</v>
      </c>
      <c r="J190" s="64">
        <f t="shared" si="105"/>
        <v>4000000000</v>
      </c>
      <c r="K190" s="64">
        <f t="shared" si="105"/>
        <v>0</v>
      </c>
      <c r="L190" s="64">
        <f t="shared" si="105"/>
        <v>0</v>
      </c>
      <c r="M190" s="64">
        <f t="shared" si="105"/>
        <v>4000000000</v>
      </c>
      <c r="N190" s="3">
        <f t="shared" si="105"/>
        <v>0</v>
      </c>
      <c r="O190" s="64">
        <f t="shared" si="105"/>
        <v>0</v>
      </c>
      <c r="P190" s="64">
        <f t="shared" si="105"/>
        <v>4000000000</v>
      </c>
      <c r="Q190" s="64">
        <f t="shared" si="105"/>
        <v>0</v>
      </c>
      <c r="R190" s="76">
        <f t="shared" si="106"/>
        <v>0</v>
      </c>
      <c r="S190" s="64">
        <f>S126</f>
        <v>0</v>
      </c>
      <c r="T190" s="73">
        <f>T126</f>
        <v>0</v>
      </c>
    </row>
    <row r="191" spans="1:20" ht="1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21</v>
      </c>
      <c r="J191" s="64">
        <f>J127</f>
        <v>2908160000</v>
      </c>
      <c r="K191" s="64">
        <f>K127</f>
        <v>0</v>
      </c>
      <c r="L191" s="64">
        <f>L127</f>
        <v>0</v>
      </c>
      <c r="M191" s="64">
        <f>M127</f>
        <v>2908160000</v>
      </c>
      <c r="N191" s="3">
        <v>0</v>
      </c>
      <c r="O191" s="64">
        <f>O127</f>
        <v>2894867079.0999999</v>
      </c>
      <c r="P191" s="64">
        <f>P127</f>
        <v>13292920.900000095</v>
      </c>
      <c r="Q191" s="64">
        <f>Q127</f>
        <v>2818117980.0999999</v>
      </c>
      <c r="R191" s="76">
        <f t="shared" si="106"/>
        <v>0.96903814786669229</v>
      </c>
      <c r="S191" s="64">
        <f>S127</f>
        <v>1074663447.0999999</v>
      </c>
      <c r="T191" s="73">
        <f>T127</f>
        <v>1074663447.0999999</v>
      </c>
    </row>
    <row r="192" spans="1:20" s="5" customFormat="1" ht="13.5" customHeight="1" thickBot="1" x14ac:dyDescent="0.25">
      <c r="A192" s="118" t="s">
        <v>29</v>
      </c>
      <c r="B192" s="119"/>
      <c r="C192" s="119"/>
      <c r="D192" s="119"/>
      <c r="E192" s="119"/>
      <c r="F192" s="119"/>
      <c r="G192" s="119"/>
      <c r="H192" s="119"/>
      <c r="I192" s="120"/>
      <c r="J192" s="40">
        <f>SUM(J188:J191)</f>
        <v>96593275679</v>
      </c>
      <c r="K192" s="40">
        <f t="shared" ref="K192:L192" si="108">SUM(K188:K191)</f>
        <v>805953742</v>
      </c>
      <c r="L192" s="40">
        <f t="shared" si="108"/>
        <v>805953742</v>
      </c>
      <c r="M192" s="40">
        <f>SUM(M188:M191)</f>
        <v>96593275679</v>
      </c>
      <c r="N192" s="40">
        <f>SUM(N188:N191)</f>
        <v>7805059000</v>
      </c>
      <c r="O192" s="40">
        <f>SUM(O188:O191)</f>
        <v>73265083640.090012</v>
      </c>
      <c r="P192" s="40">
        <f>SUM(P188:P191)</f>
        <v>15523133038.91</v>
      </c>
      <c r="Q192" s="40">
        <f>SUM(Q188:Q191)</f>
        <v>59557137093.090004</v>
      </c>
      <c r="R192" s="42">
        <f>IF(Q192&gt;1,Q192/(M192-N192),0)</f>
        <v>0.67077748963479666</v>
      </c>
      <c r="S192" s="40">
        <f>SUM(S188:S191)</f>
        <v>16461940904.809999</v>
      </c>
      <c r="T192" s="53">
        <f>SUM(T188:T191)</f>
        <v>16461940904.809999</v>
      </c>
    </row>
    <row r="193" spans="1:20" s="15" customFormat="1" ht="11.25" customHeight="1" thickBot="1" x14ac:dyDescent="0.3">
      <c r="A193" s="118" t="s">
        <v>30</v>
      </c>
      <c r="B193" s="119"/>
      <c r="C193" s="119"/>
      <c r="D193" s="119"/>
      <c r="E193" s="119"/>
      <c r="F193" s="119"/>
      <c r="G193" s="119"/>
      <c r="H193" s="119"/>
      <c r="I193" s="119"/>
      <c r="J193" s="80">
        <f t="shared" ref="J193:Q193" si="109">+J192+J122</f>
        <v>430691975679</v>
      </c>
      <c r="K193" s="80">
        <f>+K192+K122</f>
        <v>11740988892.67</v>
      </c>
      <c r="L193" s="80">
        <f>+L192+L122</f>
        <v>11740988892.67</v>
      </c>
      <c r="M193" s="80">
        <f t="shared" si="109"/>
        <v>430691975679</v>
      </c>
      <c r="N193" s="79">
        <f t="shared" si="109"/>
        <v>23920000000</v>
      </c>
      <c r="O193" s="40">
        <f t="shared" si="109"/>
        <v>307200371163.42004</v>
      </c>
      <c r="P193" s="40">
        <f t="shared" si="109"/>
        <v>99571604515.580002</v>
      </c>
      <c r="Q193" s="40">
        <f t="shared" si="109"/>
        <v>290204144684.85004</v>
      </c>
      <c r="R193" s="42">
        <f t="shared" si="106"/>
        <v>0.71343200130842277</v>
      </c>
      <c r="S193" s="40">
        <f>+S192+S122</f>
        <v>233047212361.69998</v>
      </c>
      <c r="T193" s="53">
        <f>+T192+T122</f>
        <v>233028094318.07999</v>
      </c>
    </row>
    <row r="194" spans="1:20" s="15" customFormat="1" ht="9" customHeight="1" x14ac:dyDescent="0.25">
      <c r="A194" s="15" t="s">
        <v>32</v>
      </c>
      <c r="E194" s="16"/>
      <c r="F194" s="17"/>
      <c r="G194" s="18"/>
      <c r="H194" s="19"/>
      <c r="I194" s="20"/>
      <c r="J194" s="20">
        <f>J193-[1]REP_EPG034_EjecucionPresupuesta!$S$39</f>
        <v>0</v>
      </c>
      <c r="K194" s="20"/>
      <c r="L194" s="20"/>
      <c r="M194" s="105"/>
      <c r="N194" s="60"/>
      <c r="O194" s="45"/>
      <c r="P194" s="21"/>
      <c r="Q194" s="30"/>
      <c r="R194" s="21"/>
      <c r="S194" s="66"/>
      <c r="T194" s="66"/>
    </row>
    <row r="195" spans="1:20" s="15" customFormat="1" ht="9" customHeight="1" x14ac:dyDescent="0.25">
      <c r="A195" s="15" t="s">
        <v>247</v>
      </c>
      <c r="E195" s="16"/>
      <c r="F195" s="17"/>
      <c r="G195" s="18"/>
      <c r="H195" s="19"/>
      <c r="I195" s="20"/>
      <c r="J195" s="20"/>
      <c r="K195" s="20"/>
      <c r="L195" s="20"/>
      <c r="N195" s="66"/>
      <c r="O195" s="28"/>
      <c r="P195" s="21"/>
      <c r="Q195" s="31"/>
      <c r="R195" s="21"/>
    </row>
    <row r="196" spans="1:20" s="15" customFormat="1" ht="9" customHeight="1" x14ac:dyDescent="0.25">
      <c r="A196" s="15" t="s">
        <v>245</v>
      </c>
      <c r="E196" s="16"/>
      <c r="F196" s="17"/>
      <c r="G196" s="18"/>
      <c r="H196" s="19"/>
      <c r="I196" s="20"/>
      <c r="J196" s="20"/>
      <c r="K196" s="20"/>
      <c r="L196" s="20"/>
      <c r="O196" s="67"/>
      <c r="P196" s="21"/>
      <c r="Q196" s="31"/>
      <c r="R196" s="21"/>
    </row>
    <row r="197" spans="1:20" x14ac:dyDescent="0.25">
      <c r="A197" s="15" t="s">
        <v>249</v>
      </c>
      <c r="B197" s="15"/>
      <c r="C197" s="15"/>
      <c r="D197" s="15"/>
      <c r="E197" s="16"/>
      <c r="F197" s="17"/>
      <c r="G197" s="18"/>
      <c r="H197" s="19"/>
      <c r="I197" s="20"/>
      <c r="J197" s="20"/>
      <c r="K197" s="20"/>
      <c r="L197" s="20"/>
      <c r="M197" s="15"/>
      <c r="N197" s="15"/>
      <c r="O197" s="28"/>
      <c r="P197" s="21"/>
      <c r="Q197" s="31"/>
      <c r="R197" s="21"/>
      <c r="S197" s="15"/>
      <c r="T197" s="15"/>
    </row>
  </sheetData>
  <mergeCells count="13">
    <mergeCell ref="A2:T2"/>
    <mergeCell ref="A1:F1"/>
    <mergeCell ref="A123:T123"/>
    <mergeCell ref="A192:I192"/>
    <mergeCell ref="A193:I193"/>
    <mergeCell ref="A34:I34"/>
    <mergeCell ref="A35:T35"/>
    <mergeCell ref="A91:I91"/>
    <mergeCell ref="A92:T92"/>
    <mergeCell ref="A117:I117"/>
    <mergeCell ref="A122:I122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SEPTIEMBRE 30-2024
&amp;R
Página &amp;P de &amp;N</oddHeader>
  </headerFooter>
  <ignoredErrors>
    <ignoredError sqref="N51:N56 P100 N23:N31 F115 H115:I115 C33:I33 Q33 G23:I26 H27:I27 G28:I31 H51:I52 H54:I56 C18:D18 C19:E26 C3:E4 I4 C44:I45 C102:F102 C36 C5:F17 C27:F32 M89:O89 N97:Q99 M91:Q91 P114 N114 M108:Q108 M107 M109:O109 M112:O113 C103 Q109 S90:T91 S96:T99 S105:T105 S112:T113 S107:T109 O107:Q107 Q96 P93:Q93 B3:B33 B107:E116 Q112:Q113 I64:I70 B96:B104 F103 H103 B93:I94 N93 S93:T93 C104:I104 N105:Q105 N33:O34 B95:E95 S33:T34 F107:I114 C96:I101 C88:I90 B170:E170 E173 B184:E184 B185:D185 B157:F160 B187:F187 B173:D174 N90:Q90 B161:E161 E164:F164 B166:F166 E168:F168 B171:D171 F170:F171 F173:F174 B182:F182 F184:F185 B156:C156 B162:D165 B167:D169 B172:L172 B175:L175 B176:M176 B177:L181 B183:D183 B186:C186 N172:O172 N175:O175 C72:F87 B72:B90 I72:I87 B71:I71 B49:F61 I57:I61 B62:I63 B64:F70 C37:F43 C46:F46 B36:B47 C47:D47 E47:F47 B48:D48 E48:F48" numberStoredAsText="1"/>
    <ignoredError sqref="M18:N18 R3:R4 R18 R26 R36 R44:R46 R88 R100:R102 R115:R117 R190:R191 N116 P26 P18 P102 M26 M99 M102 M156:P156 J162:M162 M165:P165 P172 M183:P183 M186:P186 R33:R34 M130:P130 M152:P152 P132 M132 P129 M129 R119:R121 A118:R118 A151:A152 A149:A150 G149:N150 A130 A129 G129:L129 A132 A131 G131:M131 A136:A138 A133:A135 G135:N135 A142 A139:A141 G139:N141 A146:A148 A143:A145 G145:K145 A153:A155 G155:M155 A128 E128:T128 E130:L130 E132:F132 E136:T138 G147:T147 G151:N151 A122:T124 A119:Q121 S119:T121 N129 R129 N132:O132 Q132:T132 H152:L152 Q152:T152 Q130:T130 R156 R161:R163 R165:R169 R172 R175:R181 R183 R186 R188 R107 R109 H132:L132 E142:T142 H153:K153 P135 P140 P145 P149 G148:N148 R148 P151 P155 P153 M164 P164 M182:N182 P182 R131:T131 P133 R133 P139 R139 P143 R143 R151 G133:K133 M133:N133 G134:J134 L134:N134 M153 G154:J154 L154:M154 G143:J143 L143:N143 G144:K144 M144:N144 M145:N145 M167:P167 M166 P166 P134 R134 P154 R154 A127:F127 A125:F125 H125:T125 A126:F126 H126:T126 H127:T127 P131 R135 P141 R141 P144 R144 P150 R150 N162:Q162 G146:O146 Q146:T146 M169:P169 M168:N168 P168 R140 R145 R149 R155 R153 R193 S162:T162 P109" formula="1"/>
    <ignoredError sqref="P112:P113 R89:R91 R98:R99 R103:R105 N107 P96 R93:R94 R111:R114 M180 M181:P181 M178:N178 M179:P179 M177:P177 M172 P175:P176 M175 B151:F152 B146:F148 B136:D138 B132:D132 B130:D130 B128:D128 B153:F155 B143:F145 B139:F141 B133:F135 B131:F131 B129:F129 B149:F150 R108 B142:D142 P178 P18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30-2024</vt:lpstr>
      <vt:lpstr>'SEPTIEMBRE 30-2024'!Área_de_impresión</vt:lpstr>
      <vt:lpstr>'SEPTIEMBRE 30-2024'!Títulos_a_imprimir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2024-10-03T19:04:08Z</cp:lastPrinted>
  <dcterms:created xsi:type="dcterms:W3CDTF">2016-02-01T15:56:25Z</dcterms:created>
  <dcterms:modified xsi:type="dcterms:W3CDTF">2024-10-03T19:19:36Z</dcterms:modified>
</cp:coreProperties>
</file>