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Octubre/"/>
    </mc:Choice>
  </mc:AlternateContent>
  <xr:revisionPtr revIDLastSave="0" documentId="8_{9F3F6CB5-15B3-4379-9F16-709AFE7B4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UBRE 31-2024" sheetId="11" r:id="rId1"/>
  </sheets>
  <externalReferences>
    <externalReference r:id="rId2"/>
  </externalReferences>
  <definedNames>
    <definedName name="_xlnm._FilterDatabase" localSheetId="0" hidden="1">'OCTUBRE 31-2024'!$A$1:$IY$201</definedName>
    <definedName name="_xlnm.Print_Area" localSheetId="0">'OCTUBRE 31-2024'!$A$1:$T$201</definedName>
    <definedName name="_xlnm.Print_Titles" localSheetId="0">'OCTUBRE 31-2024'!$1:$1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24" i="11" l="1"/>
  <c r="S124" i="11"/>
  <c r="Q124" i="11"/>
  <c r="O124" i="11"/>
  <c r="P125" i="11"/>
  <c r="P124" i="11"/>
  <c r="M126" i="11"/>
  <c r="J125" i="11"/>
  <c r="M125" i="11"/>
  <c r="J124" i="11"/>
  <c r="M124" i="11"/>
  <c r="P126" i="11"/>
  <c r="M137" i="11"/>
  <c r="O146" i="11"/>
  <c r="M148" i="11"/>
  <c r="M146" i="11" s="1"/>
  <c r="P148" i="11"/>
  <c r="P146" i="11" s="1"/>
  <c r="M149" i="11"/>
  <c r="P149" i="11"/>
  <c r="O44" i="11"/>
  <c r="S130" i="11"/>
  <c r="T130" i="11"/>
  <c r="K65" i="11"/>
  <c r="K87" i="11" l="1"/>
  <c r="L86" i="11"/>
  <c r="L83" i="11"/>
  <c r="M83" i="11" s="1"/>
  <c r="L67" i="11"/>
  <c r="L64" i="11"/>
  <c r="K61" i="11"/>
  <c r="K57" i="11"/>
  <c r="L56" i="11"/>
  <c r="L55" i="11"/>
  <c r="L53" i="11"/>
  <c r="L51" i="11"/>
  <c r="K50" i="11"/>
  <c r="L37" i="11"/>
  <c r="K100" i="11"/>
  <c r="K28" i="11"/>
  <c r="K83" i="11"/>
  <c r="L77" i="11"/>
  <c r="L76" i="11"/>
  <c r="K69" i="11"/>
  <c r="L57" i="11"/>
  <c r="K51" i="11"/>
  <c r="L39" i="11"/>
  <c r="K77" i="11"/>
  <c r="L40" i="11"/>
  <c r="L85" i="11" l="1"/>
  <c r="K79" i="11"/>
  <c r="K54" i="11"/>
  <c r="L73" i="11"/>
  <c r="K76" i="11"/>
  <c r="K70" i="11"/>
  <c r="L84" i="11"/>
  <c r="L82" i="11"/>
  <c r="K58" i="11"/>
  <c r="K56" i="11"/>
  <c r="K55" i="11"/>
  <c r="L48" i="11"/>
  <c r="K43" i="11"/>
  <c r="K39" i="11"/>
  <c r="K38" i="11"/>
  <c r="L61" i="11"/>
  <c r="L54" i="11"/>
  <c r="K37" i="11"/>
  <c r="K59" i="11"/>
  <c r="L65" i="11"/>
  <c r="K73" i="11"/>
  <c r="K85" i="11"/>
  <c r="L79" i="11"/>
  <c r="L59" i="11"/>
  <c r="L69" i="11"/>
  <c r="L50" i="11"/>
  <c r="L81" i="11"/>
  <c r="L63" i="11"/>
  <c r="L62" i="11"/>
  <c r="K82" i="11"/>
  <c r="K53" i="11"/>
  <c r="K62" i="11"/>
  <c r="J102" i="11"/>
  <c r="J99" i="11"/>
  <c r="J94" i="11"/>
  <c r="J93" i="11"/>
  <c r="L87" i="11" l="1"/>
  <c r="K86" i="11"/>
  <c r="M86" i="11" s="1"/>
  <c r="L58" i="11"/>
  <c r="L80" i="11"/>
  <c r="L38" i="11"/>
  <c r="K80" i="11"/>
  <c r="M80" i="11" s="1"/>
  <c r="K40" i="11"/>
  <c r="M40" i="11" s="1"/>
  <c r="K64" i="11"/>
  <c r="K66" i="11"/>
  <c r="L68" i="11"/>
  <c r="K68" i="11"/>
  <c r="K67" i="11"/>
  <c r="M82" i="11"/>
  <c r="M59" i="11" l="1"/>
  <c r="P59" i="11" s="1"/>
  <c r="M68" i="11"/>
  <c r="M69" i="11"/>
  <c r="M70" i="11"/>
  <c r="M58" i="11" l="1"/>
  <c r="M47" i="11"/>
  <c r="M48" i="11"/>
  <c r="M49" i="11"/>
  <c r="M50" i="11"/>
  <c r="M51" i="11"/>
  <c r="M53" i="11"/>
  <c r="M54" i="11"/>
  <c r="M55" i="11"/>
  <c r="M56" i="11"/>
  <c r="M60" i="11"/>
  <c r="M61" i="11"/>
  <c r="M62" i="11"/>
  <c r="M64" i="11"/>
  <c r="M65" i="11"/>
  <c r="M67" i="11"/>
  <c r="M72" i="11"/>
  <c r="M73" i="11"/>
  <c r="M74" i="11"/>
  <c r="M75" i="11"/>
  <c r="M76" i="11"/>
  <c r="M77" i="11"/>
  <c r="P77" i="11" s="1"/>
  <c r="M78" i="11"/>
  <c r="P78" i="11" s="1"/>
  <c r="M79" i="11"/>
  <c r="P79" i="11" s="1"/>
  <c r="M81" i="11"/>
  <c r="M85" i="11"/>
  <c r="M87" i="11"/>
  <c r="Q44" i="11" l="1"/>
  <c r="K52" i="11"/>
  <c r="M52" i="11" s="1"/>
  <c r="J57" i="11"/>
  <c r="M57" i="11" s="1"/>
  <c r="L66" i="11"/>
  <c r="M66" i="11" s="1"/>
  <c r="N110" i="11" l="1"/>
  <c r="P110" i="11" s="1"/>
  <c r="T36" i="11" l="1"/>
  <c r="S36" i="11"/>
  <c r="K36" i="11"/>
  <c r="N36" i="11"/>
  <c r="O36" i="11"/>
  <c r="Q36" i="11"/>
  <c r="J36" i="11"/>
  <c r="P62" i="11"/>
  <c r="P47" i="11"/>
  <c r="T44" i="11"/>
  <c r="S44" i="11"/>
  <c r="N44" i="11"/>
  <c r="J44" i="11"/>
  <c r="M41" i="11"/>
  <c r="P41" i="11" s="1"/>
  <c r="R41" i="11"/>
  <c r="K84" i="11"/>
  <c r="M84" i="11" s="1"/>
  <c r="S163" i="11"/>
  <c r="R62" i="11"/>
  <c r="K63" i="11"/>
  <c r="M63" i="11" s="1"/>
  <c r="R63" i="11" s="1"/>
  <c r="R96" i="11"/>
  <c r="J98" i="11"/>
  <c r="J97" i="11" s="1"/>
  <c r="J104" i="11" s="1"/>
  <c r="J105" i="11" s="1"/>
  <c r="T26" i="11"/>
  <c r="T18" i="11"/>
  <c r="T4" i="11"/>
  <c r="S88" i="11" l="1"/>
  <c r="P63" i="11"/>
  <c r="T3" i="11"/>
  <c r="M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P50" i="11"/>
  <c r="K44" i="11"/>
  <c r="L44" i="11"/>
  <c r="P71" i="11"/>
  <c r="R71" i="11"/>
  <c r="M37" i="11"/>
  <c r="M38" i="11"/>
  <c r="P40" i="11"/>
  <c r="M42" i="11"/>
  <c r="P42" i="11" s="1"/>
  <c r="M43" i="11"/>
  <c r="J45" i="11"/>
  <c r="J132" i="11"/>
  <c r="J146" i="11"/>
  <c r="J147" i="11"/>
  <c r="R187" i="11"/>
  <c r="R178" i="11"/>
  <c r="R166" i="11"/>
  <c r="R155" i="11"/>
  <c r="R153" i="11"/>
  <c r="R148" i="11"/>
  <c r="R145" i="11"/>
  <c r="R140" i="11"/>
  <c r="J156" i="11"/>
  <c r="J152" i="11"/>
  <c r="T147" i="11"/>
  <c r="S147" i="11"/>
  <c r="Q147" i="11"/>
  <c r="O147" i="11"/>
  <c r="N147" i="11"/>
  <c r="L147" i="11"/>
  <c r="K147" i="11"/>
  <c r="T146" i="11"/>
  <c r="T125" i="11" s="1"/>
  <c r="T189" i="11" s="1"/>
  <c r="S146" i="11"/>
  <c r="S125" i="11" s="1"/>
  <c r="S189" i="11" s="1"/>
  <c r="Q146" i="11"/>
  <c r="Q125" i="11" s="1"/>
  <c r="O125" i="11"/>
  <c r="O189" i="11" s="1"/>
  <c r="N146" i="11"/>
  <c r="N125" i="11" s="1"/>
  <c r="L146" i="11"/>
  <c r="L125" i="11" s="1"/>
  <c r="K125" i="11"/>
  <c r="T186" i="11"/>
  <c r="S186" i="11"/>
  <c r="Q186" i="11"/>
  <c r="R186" i="11" s="1"/>
  <c r="O186" i="11"/>
  <c r="N186" i="11"/>
  <c r="L186" i="11"/>
  <c r="K186" i="11"/>
  <c r="J186" i="11"/>
  <c r="T183" i="11"/>
  <c r="S183" i="11"/>
  <c r="Q183" i="11"/>
  <c r="O183" i="11"/>
  <c r="N183" i="11"/>
  <c r="L183" i="11"/>
  <c r="K183" i="11"/>
  <c r="J183" i="11"/>
  <c r="T181" i="11"/>
  <c r="S181" i="11"/>
  <c r="Q181" i="11"/>
  <c r="O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R177" i="11" s="1"/>
  <c r="O177" i="11"/>
  <c r="N177" i="11"/>
  <c r="L177" i="11"/>
  <c r="K177" i="11"/>
  <c r="J177" i="11"/>
  <c r="T175" i="11"/>
  <c r="S175" i="11"/>
  <c r="Q175" i="11"/>
  <c r="O175" i="11"/>
  <c r="N175" i="11"/>
  <c r="L175" i="11"/>
  <c r="K175" i="11"/>
  <c r="J175" i="11"/>
  <c r="T172" i="11"/>
  <c r="S172" i="11"/>
  <c r="Q172" i="11"/>
  <c r="O172" i="11"/>
  <c r="N172" i="11"/>
  <c r="L172" i="11"/>
  <c r="K172" i="11"/>
  <c r="J172" i="11"/>
  <c r="T169" i="11"/>
  <c r="S169" i="11"/>
  <c r="Q169" i="11"/>
  <c r="O169" i="11"/>
  <c r="N169" i="11"/>
  <c r="L169" i="11"/>
  <c r="K169" i="11"/>
  <c r="J169" i="11"/>
  <c r="T167" i="11"/>
  <c r="S167" i="11"/>
  <c r="Q167" i="1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Q163" i="11"/>
  <c r="O163" i="11"/>
  <c r="N163" i="11"/>
  <c r="L163" i="11"/>
  <c r="K163" i="11"/>
  <c r="J163" i="11"/>
  <c r="T156" i="11"/>
  <c r="S156" i="11"/>
  <c r="Q156" i="11"/>
  <c r="O156" i="11"/>
  <c r="N156" i="11"/>
  <c r="L156" i="11"/>
  <c r="K156" i="11"/>
  <c r="K152" i="11"/>
  <c r="T152" i="11"/>
  <c r="S152" i="11"/>
  <c r="Q152" i="11"/>
  <c r="O152" i="11"/>
  <c r="N152" i="11"/>
  <c r="L152" i="11"/>
  <c r="L142" i="11"/>
  <c r="K142" i="11"/>
  <c r="T142" i="11"/>
  <c r="S142" i="11"/>
  <c r="Q142" i="11"/>
  <c r="O142" i="11"/>
  <c r="N142" i="11"/>
  <c r="J142" i="11"/>
  <c r="T138" i="11"/>
  <c r="S138" i="11"/>
  <c r="Q138" i="11"/>
  <c r="O138" i="11"/>
  <c r="N138" i="11"/>
  <c r="L138" i="11"/>
  <c r="K138" i="11"/>
  <c r="J138" i="11"/>
  <c r="T137" i="11"/>
  <c r="T126" i="11" s="1"/>
  <c r="S137" i="11"/>
  <c r="S126" i="11" s="1"/>
  <c r="Q137" i="11"/>
  <c r="Q126" i="11" s="1"/>
  <c r="R126" i="11" s="1"/>
  <c r="O137" i="11"/>
  <c r="O126" i="11" s="1"/>
  <c r="N137" i="11"/>
  <c r="N126" i="11" s="1"/>
  <c r="L137" i="11"/>
  <c r="L126" i="11" s="1"/>
  <c r="K137" i="11"/>
  <c r="K126" i="11" s="1"/>
  <c r="J137" i="11"/>
  <c r="J126" i="11" s="1"/>
  <c r="T136" i="11"/>
  <c r="S136" i="11"/>
  <c r="Q136" i="11"/>
  <c r="O136" i="11"/>
  <c r="N136" i="11"/>
  <c r="L136" i="11"/>
  <c r="K136" i="11"/>
  <c r="J136" i="11"/>
  <c r="T132" i="11"/>
  <c r="S132" i="11"/>
  <c r="Q132" i="11"/>
  <c r="O132" i="11"/>
  <c r="N132" i="11"/>
  <c r="L132" i="11"/>
  <c r="K132" i="11"/>
  <c r="J130" i="11"/>
  <c r="T128" i="11"/>
  <c r="S128" i="11"/>
  <c r="Q128" i="11"/>
  <c r="O128" i="11"/>
  <c r="J128" i="11"/>
  <c r="R50" i="11" l="1"/>
  <c r="M39" i="11"/>
  <c r="M36" i="11" s="1"/>
  <c r="L36" i="11"/>
  <c r="J127" i="11"/>
  <c r="S162" i="11"/>
  <c r="S161" i="11" s="1"/>
  <c r="T162" i="11"/>
  <c r="T161" i="11" s="1"/>
  <c r="Q162" i="11"/>
  <c r="Q161" i="11" s="1"/>
  <c r="Q189" i="11"/>
  <c r="P51" i="11"/>
  <c r="N162" i="11"/>
  <c r="N161" i="11" s="1"/>
  <c r="J162" i="11"/>
  <c r="J161" i="11" s="1"/>
  <c r="K162" i="11"/>
  <c r="K161" i="11" s="1"/>
  <c r="L162" i="11"/>
  <c r="L161" i="11" s="1"/>
  <c r="O162" i="11"/>
  <c r="O161" i="11" s="1"/>
  <c r="O188" i="11" s="1"/>
  <c r="R137" i="11"/>
  <c r="L130" i="11"/>
  <c r="K130" i="11"/>
  <c r="Q130" i="11"/>
  <c r="O130" i="11"/>
  <c r="N130" i="11"/>
  <c r="N128" i="11"/>
  <c r="L128" i="11"/>
  <c r="K128" i="11"/>
  <c r="M166" i="11"/>
  <c r="M165" i="11" s="1"/>
  <c r="M168" i="11"/>
  <c r="M170" i="11"/>
  <c r="R170" i="11" s="1"/>
  <c r="M171" i="11"/>
  <c r="R171" i="11" s="1"/>
  <c r="M173" i="11"/>
  <c r="R173" i="11" s="1"/>
  <c r="M174" i="11"/>
  <c r="R174" i="11" s="1"/>
  <c r="M176" i="11"/>
  <c r="M178" i="11"/>
  <c r="M180" i="11"/>
  <c r="M182" i="11"/>
  <c r="M181" i="11" s="1"/>
  <c r="M184" i="11"/>
  <c r="R184" i="11" s="1"/>
  <c r="M185" i="11"/>
  <c r="R185" i="11" s="1"/>
  <c r="M187" i="11"/>
  <c r="M186" i="11" s="1"/>
  <c r="M164" i="11"/>
  <c r="M131" i="11"/>
  <c r="M133" i="11"/>
  <c r="R133" i="11" s="1"/>
  <c r="M134" i="11"/>
  <c r="R134" i="11" s="1"/>
  <c r="M135" i="11"/>
  <c r="R135" i="11" s="1"/>
  <c r="M139" i="11"/>
  <c r="M140" i="11"/>
  <c r="M141" i="11"/>
  <c r="M143" i="11"/>
  <c r="M144" i="11"/>
  <c r="M145" i="11"/>
  <c r="M150" i="11"/>
  <c r="M151" i="11"/>
  <c r="R151" i="11" s="1"/>
  <c r="M153" i="11"/>
  <c r="M154" i="11"/>
  <c r="R154" i="11" s="1"/>
  <c r="M155" i="11"/>
  <c r="M157" i="11"/>
  <c r="M158" i="11"/>
  <c r="R158" i="11" s="1"/>
  <c r="M159" i="11"/>
  <c r="R159" i="11" s="1"/>
  <c r="M160" i="11"/>
  <c r="R160" i="11" s="1"/>
  <c r="M129" i="11"/>
  <c r="M128" i="11" s="1"/>
  <c r="M114" i="11"/>
  <c r="P111" i="11"/>
  <c r="M96" i="11"/>
  <c r="M100" i="11"/>
  <c r="M101" i="11"/>
  <c r="M103" i="11"/>
  <c r="M95" i="11"/>
  <c r="R60" i="11"/>
  <c r="M46" i="11"/>
  <c r="P85" i="11"/>
  <c r="R157" i="11" l="1"/>
  <c r="M156" i="11"/>
  <c r="M177" i="11"/>
  <c r="P178" i="11"/>
  <c r="P131" i="11"/>
  <c r="P130" i="11" s="1"/>
  <c r="M130" i="11"/>
  <c r="R130" i="11" s="1"/>
  <c r="M167" i="11"/>
  <c r="R167" i="11" s="1"/>
  <c r="P168" i="11"/>
  <c r="P167" i="11" s="1"/>
  <c r="R168" i="11"/>
  <c r="R149" i="11"/>
  <c r="P150" i="11"/>
  <c r="R150" i="11"/>
  <c r="R143" i="11"/>
  <c r="P143" i="11"/>
  <c r="R131" i="11"/>
  <c r="M138" i="11"/>
  <c r="R138" i="11" s="1"/>
  <c r="P141" i="11"/>
  <c r="P138" i="11" s="1"/>
  <c r="R141" i="11"/>
  <c r="P144" i="11"/>
  <c r="R144" i="11"/>
  <c r="P140" i="11"/>
  <c r="P137" i="11" s="1"/>
  <c r="R181" i="11"/>
  <c r="R182" i="11"/>
  <c r="M136" i="11"/>
  <c r="R136" i="11" s="1"/>
  <c r="R139" i="11"/>
  <c r="M175" i="11"/>
  <c r="R175" i="11" s="1"/>
  <c r="R176" i="11"/>
  <c r="M163" i="11"/>
  <c r="R164" i="11"/>
  <c r="R128" i="11"/>
  <c r="R129" i="11"/>
  <c r="M44" i="11"/>
  <c r="M179" i="11"/>
  <c r="R179" i="11" s="1"/>
  <c r="R180" i="11"/>
  <c r="M147" i="11"/>
  <c r="R147" i="11" s="1"/>
  <c r="M183" i="11"/>
  <c r="R183" i="11" s="1"/>
  <c r="R156" i="11"/>
  <c r="M142" i="11"/>
  <c r="R142" i="11" s="1"/>
  <c r="M152" i="11"/>
  <c r="R152" i="11" s="1"/>
  <c r="M172" i="11"/>
  <c r="R172" i="11" s="1"/>
  <c r="M132" i="11"/>
  <c r="R132" i="11" s="1"/>
  <c r="M169" i="11"/>
  <c r="R169" i="11" s="1"/>
  <c r="R37" i="11"/>
  <c r="R5" i="11"/>
  <c r="R110" i="11"/>
  <c r="M127" i="11"/>
  <c r="P151" i="11"/>
  <c r="T127" i="11"/>
  <c r="S127" i="11"/>
  <c r="Q127" i="11"/>
  <c r="O127" i="11"/>
  <c r="N127" i="11"/>
  <c r="L127" i="11"/>
  <c r="K127" i="11"/>
  <c r="R125" i="11" l="1"/>
  <c r="R146" i="11"/>
  <c r="R163" i="11"/>
  <c r="M162" i="11"/>
  <c r="R44" i="11"/>
  <c r="R127" i="11"/>
  <c r="T188" i="11"/>
  <c r="S188" i="11"/>
  <c r="Q188" i="11"/>
  <c r="N124" i="11"/>
  <c r="L124" i="11"/>
  <c r="K124" i="11"/>
  <c r="J89" i="11"/>
  <c r="J120" i="11" s="1"/>
  <c r="T191" i="11"/>
  <c r="S191" i="11"/>
  <c r="Q191" i="11"/>
  <c r="T190" i="11"/>
  <c r="S190" i="11"/>
  <c r="O190" i="11"/>
  <c r="N190" i="11"/>
  <c r="N189" i="11"/>
  <c r="K191" i="11"/>
  <c r="L190" i="11"/>
  <c r="K190" i="11"/>
  <c r="L189" i="11"/>
  <c r="K189" i="11"/>
  <c r="J190" i="11"/>
  <c r="J189" i="11"/>
  <c r="P185" i="11"/>
  <c r="P174" i="11"/>
  <c r="P160" i="11"/>
  <c r="P159" i="11"/>
  <c r="P158" i="11"/>
  <c r="P155" i="11"/>
  <c r="P154" i="11"/>
  <c r="P147" i="11"/>
  <c r="P145" i="11"/>
  <c r="P142" i="11" s="1"/>
  <c r="P135" i="11"/>
  <c r="P134" i="11"/>
  <c r="P37" i="11"/>
  <c r="P38" i="11"/>
  <c r="P49" i="11"/>
  <c r="P52" i="11"/>
  <c r="P53" i="11"/>
  <c r="P54" i="11"/>
  <c r="P55" i="11"/>
  <c r="P56" i="11"/>
  <c r="P57" i="11"/>
  <c r="P58" i="11"/>
  <c r="P60" i="11"/>
  <c r="P61" i="11"/>
  <c r="P64" i="11"/>
  <c r="P65" i="11"/>
  <c r="P66" i="11"/>
  <c r="P67" i="11"/>
  <c r="P68" i="11"/>
  <c r="P69" i="11"/>
  <c r="P70" i="11"/>
  <c r="P72" i="11"/>
  <c r="P73" i="11"/>
  <c r="P74" i="11"/>
  <c r="P75" i="11"/>
  <c r="P46" i="11" s="1"/>
  <c r="P76" i="11"/>
  <c r="P80" i="11"/>
  <c r="P81" i="11"/>
  <c r="P82" i="11"/>
  <c r="P83" i="11"/>
  <c r="P84" i="11"/>
  <c r="P86" i="11"/>
  <c r="P87" i="11"/>
  <c r="P48" i="11"/>
  <c r="P39" i="11"/>
  <c r="P43" i="11"/>
  <c r="L191" i="11"/>
  <c r="L113" i="11"/>
  <c r="L112" i="11" s="1"/>
  <c r="L108" i="11" s="1"/>
  <c r="L116" i="11" s="1"/>
  <c r="L119" i="11" s="1"/>
  <c r="K113" i="11"/>
  <c r="K112" i="11" s="1"/>
  <c r="K108" i="11" s="1"/>
  <c r="K116" i="11" s="1"/>
  <c r="K119" i="11" s="1"/>
  <c r="L109" i="11"/>
  <c r="L107" i="11" s="1"/>
  <c r="L115" i="11" s="1"/>
  <c r="K109" i="11"/>
  <c r="K107" i="11" s="1"/>
  <c r="K115" i="11" s="1"/>
  <c r="L102" i="11"/>
  <c r="K102" i="11"/>
  <c r="L99" i="11"/>
  <c r="L98" i="11" s="1"/>
  <c r="L97" i="11" s="1"/>
  <c r="K99" i="11"/>
  <c r="K98" i="11" s="1"/>
  <c r="K97" i="11" s="1"/>
  <c r="K104" i="11" s="1"/>
  <c r="L94" i="11"/>
  <c r="L93" i="11" s="1"/>
  <c r="K94" i="11"/>
  <c r="K93" i="11" s="1"/>
  <c r="L46" i="11"/>
  <c r="K46" i="11"/>
  <c r="L45" i="11"/>
  <c r="K45" i="11"/>
  <c r="K89" i="11" s="1"/>
  <c r="K120" i="11" s="1"/>
  <c r="L88" i="11"/>
  <c r="K88" i="11"/>
  <c r="L26" i="11"/>
  <c r="K26" i="11"/>
  <c r="L18" i="11"/>
  <c r="K18" i="11"/>
  <c r="L4" i="11"/>
  <c r="K4" i="11"/>
  <c r="J191" i="11"/>
  <c r="J113" i="11"/>
  <c r="J112" i="11" s="1"/>
  <c r="J108" i="11" s="1"/>
  <c r="J116" i="11" s="1"/>
  <c r="J119" i="11" s="1"/>
  <c r="J109" i="11"/>
  <c r="J107" i="11" s="1"/>
  <c r="J115" i="11" s="1"/>
  <c r="J46" i="11"/>
  <c r="J90" i="11" s="1"/>
  <c r="J121" i="11" s="1"/>
  <c r="J26" i="11"/>
  <c r="J18" i="11"/>
  <c r="J4" i="11"/>
  <c r="O191" i="11"/>
  <c r="P36" i="11" l="1"/>
  <c r="P44" i="11"/>
  <c r="U88" i="11"/>
  <c r="S192" i="11"/>
  <c r="R124" i="11"/>
  <c r="M161" i="11"/>
  <c r="R161" i="11" s="1"/>
  <c r="R162" i="11"/>
  <c r="M102" i="11"/>
  <c r="Q190" i="11"/>
  <c r="Q192" i="11" s="1"/>
  <c r="M99" i="11"/>
  <c r="L90" i="11"/>
  <c r="L89" i="11"/>
  <c r="L120" i="11" s="1"/>
  <c r="K90" i="11"/>
  <c r="K121" i="11" s="1"/>
  <c r="K91" i="11"/>
  <c r="M189" i="11"/>
  <c r="M190" i="11"/>
  <c r="J188" i="11"/>
  <c r="J192" i="11" s="1"/>
  <c r="P171" i="11"/>
  <c r="M191" i="11"/>
  <c r="M4" i="11"/>
  <c r="L188" i="11"/>
  <c r="L192" i="11" s="1"/>
  <c r="K188" i="11"/>
  <c r="K192" i="11" s="1"/>
  <c r="K117" i="11"/>
  <c r="L117" i="11"/>
  <c r="L104" i="11"/>
  <c r="L105" i="11" s="1"/>
  <c r="K105" i="11"/>
  <c r="L3" i="11"/>
  <c r="L33" i="11" s="1"/>
  <c r="L34" i="11" s="1"/>
  <c r="K3" i="11"/>
  <c r="K33" i="11" s="1"/>
  <c r="K34" i="11" s="1"/>
  <c r="N188" i="11"/>
  <c r="J117" i="11"/>
  <c r="J88" i="11"/>
  <c r="J91" i="11" s="1"/>
  <c r="J3" i="11"/>
  <c r="Q45" i="11"/>
  <c r="Q46" i="11"/>
  <c r="O45" i="11"/>
  <c r="O89" i="11" s="1"/>
  <c r="O46" i="11"/>
  <c r="M90" i="11"/>
  <c r="M45" i="11"/>
  <c r="T94" i="11"/>
  <c r="S94" i="11"/>
  <c r="Q94" i="11"/>
  <c r="O94" i="11"/>
  <c r="N94" i="11"/>
  <c r="M94" i="11"/>
  <c r="M93" i="11" s="1"/>
  <c r="R95" i="11"/>
  <c r="P95" i="11"/>
  <c r="P101" i="11"/>
  <c r="P103" i="11"/>
  <c r="P102" i="11" s="1"/>
  <c r="T102" i="11"/>
  <c r="S102" i="11"/>
  <c r="Q102" i="11"/>
  <c r="O102" i="11"/>
  <c r="N102" i="11"/>
  <c r="S26" i="11"/>
  <c r="Q26" i="11"/>
  <c r="O26" i="11"/>
  <c r="M26" i="11"/>
  <c r="S18" i="11"/>
  <c r="Q18" i="11"/>
  <c r="O18" i="11"/>
  <c r="M18" i="11"/>
  <c r="S4" i="11"/>
  <c r="Q4" i="11"/>
  <c r="O4" i="11"/>
  <c r="P190" i="11" l="1"/>
  <c r="P127" i="11"/>
  <c r="L91" i="11"/>
  <c r="J33" i="11"/>
  <c r="J34" i="11" s="1"/>
  <c r="M98" i="11"/>
  <c r="L121" i="11"/>
  <c r="M188" i="11"/>
  <c r="R188" i="11" s="1"/>
  <c r="K118" i="11"/>
  <c r="K122" i="11" s="1"/>
  <c r="K193" i="11" s="1"/>
  <c r="L118" i="11"/>
  <c r="O93" i="11"/>
  <c r="O88" i="11"/>
  <c r="N88" i="11"/>
  <c r="P27" i="11"/>
  <c r="R42" i="11"/>
  <c r="R43" i="11"/>
  <c r="M89" i="11"/>
  <c r="M120" i="11" s="1"/>
  <c r="N45" i="11"/>
  <c r="N89" i="11" s="1"/>
  <c r="N120" i="11" s="1"/>
  <c r="O120" i="11"/>
  <c r="Q89" i="11"/>
  <c r="S45" i="11"/>
  <c r="S89" i="11" s="1"/>
  <c r="T45" i="11"/>
  <c r="T89" i="11" s="1"/>
  <c r="M121" i="11"/>
  <c r="N46" i="11"/>
  <c r="N90" i="11" s="1"/>
  <c r="N121" i="11" s="1"/>
  <c r="O90" i="11"/>
  <c r="O121" i="11" s="1"/>
  <c r="S46" i="11"/>
  <c r="S90" i="11" s="1"/>
  <c r="S121" i="11" s="1"/>
  <c r="T46" i="11"/>
  <c r="T90" i="11" s="1"/>
  <c r="T121" i="11" s="1"/>
  <c r="P166" i="11"/>
  <c r="P165" i="11" s="1"/>
  <c r="P170" i="11"/>
  <c r="P169" i="11" s="1"/>
  <c r="P173" i="11"/>
  <c r="P172" i="11" s="1"/>
  <c r="P176" i="11"/>
  <c r="P175" i="11" s="1"/>
  <c r="P177" i="11"/>
  <c r="P180" i="11"/>
  <c r="P179" i="11" s="1"/>
  <c r="P182" i="11"/>
  <c r="P181" i="11" s="1"/>
  <c r="P184" i="11"/>
  <c r="P183" i="11" s="1"/>
  <c r="P187" i="11"/>
  <c r="P186" i="11" s="1"/>
  <c r="P164" i="11"/>
  <c r="P163" i="11" s="1"/>
  <c r="P133" i="11"/>
  <c r="P132" i="11" s="1"/>
  <c r="P139" i="11"/>
  <c r="P136" i="11" s="1"/>
  <c r="P153" i="11"/>
  <c r="P152" i="11" s="1"/>
  <c r="P157" i="11"/>
  <c r="P156" i="11" s="1"/>
  <c r="P129" i="11"/>
  <c r="P128" i="11" s="1"/>
  <c r="S109" i="11"/>
  <c r="S115" i="11" s="1"/>
  <c r="R48" i="11"/>
  <c r="P96" i="11"/>
  <c r="T93" i="11"/>
  <c r="S93" i="11"/>
  <c r="Q109" i="11"/>
  <c r="Q115" i="11" s="1"/>
  <c r="Q93" i="11"/>
  <c r="N93" i="11"/>
  <c r="N104" i="11" s="1"/>
  <c r="Q99" i="11"/>
  <c r="Q98" i="11" s="1"/>
  <c r="Q97" i="11" s="1"/>
  <c r="N4" i="11"/>
  <c r="R100" i="11"/>
  <c r="R75" i="11"/>
  <c r="O109" i="11"/>
  <c r="O107" i="11" s="1"/>
  <c r="M109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7" i="11"/>
  <c r="R86" i="11"/>
  <c r="R85" i="11"/>
  <c r="R84" i="11"/>
  <c r="R83" i="11"/>
  <c r="R82" i="11"/>
  <c r="R81" i="11"/>
  <c r="R80" i="11"/>
  <c r="R78" i="11"/>
  <c r="R77" i="11"/>
  <c r="R76" i="11"/>
  <c r="R74" i="11"/>
  <c r="R73" i="11"/>
  <c r="R72" i="11"/>
  <c r="R70" i="11"/>
  <c r="R69" i="11"/>
  <c r="R68" i="11"/>
  <c r="R67" i="11"/>
  <c r="R66" i="11"/>
  <c r="R65" i="11"/>
  <c r="R64" i="11"/>
  <c r="R61" i="11"/>
  <c r="R59" i="11"/>
  <c r="R58" i="11"/>
  <c r="R57" i="11"/>
  <c r="R56" i="11"/>
  <c r="R55" i="11"/>
  <c r="R54" i="11"/>
  <c r="R53" i="11"/>
  <c r="R52" i="11"/>
  <c r="R51" i="11"/>
  <c r="R49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100" i="11"/>
  <c r="P99" i="11" s="1"/>
  <c r="R114" i="11"/>
  <c r="R111" i="11"/>
  <c r="R101" i="11"/>
  <c r="T109" i="11"/>
  <c r="T107" i="11" s="1"/>
  <c r="R103" i="11"/>
  <c r="O99" i="11"/>
  <c r="O98" i="11" s="1"/>
  <c r="O97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9" i="11"/>
  <c r="N115" i="11" s="1"/>
  <c r="N99" i="11"/>
  <c r="N113" i="11"/>
  <c r="N112" i="11" s="1"/>
  <c r="N108" i="11" s="1"/>
  <c r="P114" i="11"/>
  <c r="T113" i="11"/>
  <c r="T112" i="11" s="1"/>
  <c r="T108" i="11" s="1"/>
  <c r="T116" i="11" s="1"/>
  <c r="S113" i="11"/>
  <c r="S112" i="11" s="1"/>
  <c r="S108" i="11" s="1"/>
  <c r="S116" i="11" s="1"/>
  <c r="Q113" i="11"/>
  <c r="O113" i="11"/>
  <c r="O112" i="11" s="1"/>
  <c r="O108" i="11" s="1"/>
  <c r="O116" i="11" s="1"/>
  <c r="O119" i="11" s="1"/>
  <c r="M113" i="11"/>
  <c r="M112" i="11" s="1"/>
  <c r="T99" i="11"/>
  <c r="T98" i="11" s="1"/>
  <c r="T97" i="11" s="1"/>
  <c r="S99" i="11"/>
  <c r="S98" i="11" s="1"/>
  <c r="S97" i="11" s="1"/>
  <c r="R38" i="11"/>
  <c r="R39" i="11"/>
  <c r="P162" i="11" l="1"/>
  <c r="P161" i="11" s="1"/>
  <c r="P188" i="11" s="1"/>
  <c r="P192" i="11" s="1"/>
  <c r="P109" i="11"/>
  <c r="O104" i="11"/>
  <c r="R93" i="11"/>
  <c r="P191" i="11"/>
  <c r="M97" i="11"/>
  <c r="L122" i="11"/>
  <c r="L193" i="11" s="1"/>
  <c r="P189" i="11"/>
  <c r="M107" i="11"/>
  <c r="R109" i="11"/>
  <c r="T104" i="11"/>
  <c r="T105" i="11" s="1"/>
  <c r="S104" i="11"/>
  <c r="S105" i="11" s="1"/>
  <c r="Q104" i="11"/>
  <c r="R189" i="11"/>
  <c r="O105" i="11"/>
  <c r="P94" i="11"/>
  <c r="P93" i="11" s="1"/>
  <c r="P18" i="11"/>
  <c r="P4" i="11"/>
  <c r="P26" i="11"/>
  <c r="Q88" i="11"/>
  <c r="T88" i="11"/>
  <c r="T91" i="11" s="1"/>
  <c r="R46" i="11"/>
  <c r="O115" i="11"/>
  <c r="O117" i="11" s="1"/>
  <c r="P88" i="11"/>
  <c r="R45" i="11"/>
  <c r="Q90" i="11"/>
  <c r="Q121" i="11" s="1"/>
  <c r="R121" i="11" s="1"/>
  <c r="N91" i="11"/>
  <c r="R94" i="11"/>
  <c r="P45" i="11"/>
  <c r="P90" i="11"/>
  <c r="P121" i="11" s="1"/>
  <c r="R18" i="11"/>
  <c r="N192" i="11"/>
  <c r="O3" i="11"/>
  <c r="O33" i="11" s="1"/>
  <c r="O34" i="11" s="1"/>
  <c r="N116" i="11"/>
  <c r="N119" i="11" s="1"/>
  <c r="P98" i="11"/>
  <c r="P97" i="11" s="1"/>
  <c r="P104" i="11" s="1"/>
  <c r="P105" i="11" s="1"/>
  <c r="N3" i="11"/>
  <c r="N33" i="11" s="1"/>
  <c r="N34" i="11" s="1"/>
  <c r="R113" i="11"/>
  <c r="N107" i="11"/>
  <c r="R191" i="11"/>
  <c r="M192" i="11"/>
  <c r="R190" i="11"/>
  <c r="T115" i="11"/>
  <c r="S107" i="11"/>
  <c r="Q107" i="11"/>
  <c r="R99" i="11"/>
  <c r="R36" i="11"/>
  <c r="O91" i="11"/>
  <c r="M88" i="11"/>
  <c r="M91" i="11" s="1"/>
  <c r="T33" i="11"/>
  <c r="S3" i="11"/>
  <c r="S33" i="11" s="1"/>
  <c r="S34" i="11" s="1"/>
  <c r="Q3" i="11"/>
  <c r="R26" i="11"/>
  <c r="M3" i="11"/>
  <c r="M33" i="11" s="1"/>
  <c r="M34" i="11" s="1"/>
  <c r="T120" i="11"/>
  <c r="S120" i="11"/>
  <c r="R98" i="11"/>
  <c r="N105" i="11"/>
  <c r="S117" i="11"/>
  <c r="S119" i="11"/>
  <c r="M108" i="11"/>
  <c r="M116" i="11" s="1"/>
  <c r="M119" i="11" s="1"/>
  <c r="P112" i="11"/>
  <c r="P108" i="11" s="1"/>
  <c r="P116" i="11" s="1"/>
  <c r="P119" i="11" s="1"/>
  <c r="T119" i="11"/>
  <c r="Q120" i="11"/>
  <c r="R120" i="11" s="1"/>
  <c r="R89" i="11"/>
  <c r="R4" i="11"/>
  <c r="P113" i="11"/>
  <c r="Q112" i="11"/>
  <c r="P3" i="11" l="1"/>
  <c r="P107" i="11"/>
  <c r="P115" i="11"/>
  <c r="P118" i="11" s="1"/>
  <c r="R97" i="11"/>
  <c r="M104" i="11"/>
  <c r="R192" i="11"/>
  <c r="S91" i="11"/>
  <c r="S118" i="11"/>
  <c r="S122" i="11" s="1"/>
  <c r="S193" i="11" s="1"/>
  <c r="T34" i="11"/>
  <c r="T118" i="11"/>
  <c r="T122" i="11" s="1"/>
  <c r="R107" i="11"/>
  <c r="J118" i="11"/>
  <c r="J122" i="11" s="1"/>
  <c r="J193" i="11" s="1"/>
  <c r="J198" i="11" s="1"/>
  <c r="M115" i="11"/>
  <c r="R115" i="11" s="1"/>
  <c r="T192" i="11"/>
  <c r="O192" i="11"/>
  <c r="M105" i="11"/>
  <c r="Q91" i="11"/>
  <c r="R91" i="11" s="1"/>
  <c r="P89" i="11"/>
  <c r="P120" i="11" s="1"/>
  <c r="R90" i="11"/>
  <c r="R3" i="11"/>
  <c r="N117" i="11"/>
  <c r="R102" i="11"/>
  <c r="T117" i="11"/>
  <c r="P33" i="11"/>
  <c r="P34" i="11" s="1"/>
  <c r="R88" i="11"/>
  <c r="Q33" i="11"/>
  <c r="R33" i="11" s="1"/>
  <c r="O118" i="11"/>
  <c r="O122" i="11" s="1"/>
  <c r="Q105" i="11"/>
  <c r="R112" i="11"/>
  <c r="Q108" i="11"/>
  <c r="N118" i="11"/>
  <c r="N122" i="11" s="1"/>
  <c r="N193" i="11" s="1"/>
  <c r="M117" i="11" l="1"/>
  <c r="T193" i="11"/>
  <c r="Q118" i="11"/>
  <c r="Q34" i="11"/>
  <c r="R34" i="11" s="1"/>
  <c r="R104" i="11"/>
  <c r="O193" i="11"/>
  <c r="M118" i="11"/>
  <c r="R105" i="11"/>
  <c r="P91" i="11"/>
  <c r="R108" i="11"/>
  <c r="Q116" i="11"/>
  <c r="P117" i="11"/>
  <c r="P122" i="11"/>
  <c r="P193" i="11" s="1"/>
  <c r="M122" i="11" l="1"/>
  <c r="R118" i="11"/>
  <c r="Q119" i="11"/>
  <c r="R116" i="11"/>
  <c r="Q117" i="11"/>
  <c r="R117" i="11" s="1"/>
  <c r="M193" i="11" l="1"/>
  <c r="R119" i="11"/>
  <c r="Q122" i="11"/>
  <c r="Q193" i="11" s="1"/>
  <c r="R122" i="11" l="1"/>
  <c r="R193" i="11"/>
</calcChain>
</file>

<file path=xl/sharedStrings.xml><?xml version="1.0" encoding="utf-8"?>
<sst xmlns="http://schemas.openxmlformats.org/spreadsheetml/2006/main" count="1303" uniqueCount="251">
  <si>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</si>
  <si>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</si>
  <si>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</si>
  <si>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</si>
  <si>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</si>
  <si>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</si>
  <si>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</si>
  <si>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</si>
  <si>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</si>
  <si>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</si>
  <si>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</si>
  <si>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</si>
  <si>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</si>
  <si>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</si>
  <si>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</si>
  <si>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</si>
  <si>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</si>
  <si>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</si>
  <si>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</si>
  <si>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</si>
  <si>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</si>
  <si>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</si>
  <si>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</si>
  <si>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</si>
  <si>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</si>
  <si>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</si>
  <si>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</si>
  <si>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</si>
  <si>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</si>
  <si>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</si>
  <si>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</si>
  <si>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</si>
  <si>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</si>
  <si>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</si>
  <si>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</si>
  <si>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</si>
  <si>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</si>
  <si>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</si>
  <si>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</si>
  <si>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</si>
  <si>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</si>
  <si>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</si>
  <si>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</si>
  <si>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</si>
  <si>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</si>
  <si>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</si>
  <si>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</si>
  <si>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</si>
  <si>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</si>
  <si>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</si>
  <si>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</si>
  <si>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</si>
  <si>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</si>
  <si>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</si>
  <si>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</si>
  <si>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</si>
  <si>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</si>
  <si>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</si>
  <si>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</si>
  <si>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</si>
  <si>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</si>
  <si>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</si>
  <si>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</si>
  <si>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</si>
  <si>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</si>
  <si>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</si>
  <si>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</si>
  <si>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</si>
  <si>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</si>
  <si>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</si>
  <si>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</si>
  <si>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</si>
  <si>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</si>
  <si>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</si>
  <si>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</si>
  <si>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</si>
  <si>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</si>
  <si>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</si>
  <si>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</si>
  <si>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</si>
  <si>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</si>
  <si>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</si>
  <si>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</si>
  <si>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</si>
  <si>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</si>
  <si>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</si>
  <si>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</si>
  <si>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</si>
  <si>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</si>
  <si>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</si>
  <si>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</si>
  <si>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</si>
  <si>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</si>
  <si>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</si>
  <si>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</si>
  <si>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</si>
  <si>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</si>
  <si>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</si>
  <si>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</si>
  <si>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</si>
  <si>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</si>
  <si>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</si>
  <si>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</si>
  <si>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</si>
  <si>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</si>
  <si>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</si>
  <si>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</si>
  <si>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</si>
  <si>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</si>
  <si>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</si>
  <si>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</si>
  <si>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</si>
  <si>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</si>
  <si>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</si>
  <si>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</si>
  <si>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</si>
  <si>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</si>
  <si>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</si>
  <si>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</si>
  <si>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</si>
  <si>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</si>
  <si>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</si>
  <si>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</si>
  <si>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</si>
  <si>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</si>
  <si>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</si>
  <si>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</si>
  <si>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</si>
  <si>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</si>
  <si>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</si>
  <si>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</si>
  <si>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</si>
  <si>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</si>
  <si>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</si>
  <si>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</si>
  <si>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</si>
  <si>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</si>
  <si>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</si>
  <si>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</si>
  <si>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</si>
  <si>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</si>
  <si>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</si>
  <si>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</si>
  <si>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</si>
  <si>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</si>
  <si>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</si>
  <si>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</si>
  <si>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</si>
  <si>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</si>
  <si>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</si>
  <si>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</si>
  <si>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</si>
  <si>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</si>
  <si>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</si>
  <si>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</si>
  <si>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</si>
  <si>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</si>
  <si>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</si>
  <si>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</si>
  <si>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</si>
  <si>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</si>
  <si>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</si>
  <si>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</si>
  <si>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</si>
  <si>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</si>
  <si>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</si>
  <si>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</si>
  <si>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</si>
  <si>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</si>
  <si>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</si>
  <si>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</si>
  <si>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</si>
  <si>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</si>
  <si>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</si>
  <si>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</si>
  <si>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</si>
  <si>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</si>
  <si>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</si>
  <si>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</si>
  <si>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</si>
  <si>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</si>
  <si>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</si>
  <si>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</si>
  <si>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</si>
  <si>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</si>
  <si>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</si>
  <si>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</si>
  <si>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</si>
  <si>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</si>
  <si>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</si>
  <si>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</si>
  <si>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</si>
  <si>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</si>
  <si>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</si>
  <si>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</si>
  <si>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</si>
  <si>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</si>
  <si>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</si>
  <si>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</si>
  <si>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</si>
  <si>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</si>
  <si>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</si>
  <si>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</si>
  <si>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</si>
  <si>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</si>
  <si>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</si>
  <si>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</si>
  <si>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</si>
  <si>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</si>
  <si>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</si>
  <si>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</si>
  <si>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</si>
  <si>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</si>
  <si>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</si>
  <si>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</si>
  <si>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</si>
  <si>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</si>
  <si>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</si>
  <si>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</si>
  <si>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</si>
  <si>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</si>
  <si>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</si>
  <si>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</si>
  <si>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</si>
  <si>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</si>
  <si>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</si>
  <si>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</si>
  <si>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</si>
  <si>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</si>
  <si>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</si>
  <si>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</si>
  <si>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</si>
  <si>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</si>
  <si>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</si>
  <si>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</si>
  <si>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</si>
  <si>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</si>
  <si>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</si>
  <si>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</si>
  <si>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</si>
  <si>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</si>
  <si>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</si>
  <si>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</si>
  <si>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PIEDRA, ARENA Y ARCILLA</t>
  </si>
  <si>
    <t xml:space="preserve">Reviso: Cesar Augusto Acuña Reyes- coordinador- Grupo Nacional de Gestión Presupuestal </t>
  </si>
  <si>
    <t>APROP. APLAZADA</t>
  </si>
  <si>
    <t>Elaboro: Martha C. Florez Giraldo - Profes. Univer. Grupo Nacional de Gestión Presupuestal</t>
  </si>
  <si>
    <t>RUBRO</t>
  </si>
  <si>
    <t>PASTA O PULPA, PAPEL Y PRODUCTOS DE PAPEL; IMPRESOS Y ARTÍCULOS SIMILARES</t>
  </si>
  <si>
    <t>NOTA:  Mediante oficio No. 536-DG-2024  se remtio al Ministerio de Hacienda y Credito Público las partidas Presupuestales  que no se ejecutaran  en la presente Vigencia, por lo cual, para el presente informe se afectaron las apropiaciones a nivel de productos, sin embargo, a nivel de proyecto no se veran afectadas estas partidas presupuestales hasta que se publique el Decreto de reducción por parte del Gobierno Nacional.</t>
  </si>
  <si>
    <t>Fecha:Noviembre 08--2024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</si>
</sst>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0" fontId="9" fillId="0" borderId="31" xfId="2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4\INFORMES%20DE%20EJECUCION\ABRIL-30-2024\DECRETO%2030%20DE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S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201"/>
  <sheetViews>
    <sheetView showGridLines="0" tabSelected="1" zoomScale="140" zoomScaleNormal="140" workbookViewId="0">
      <selection sqref="A1:F1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9" t="s">
        <v>247</v>
      </c>
      <c r="B1" s="120"/>
      <c r="C1" s="120"/>
      <c r="D1" s="120"/>
      <c r="E1" s="120"/>
      <c r="F1" s="121"/>
      <c r="G1" s="87" t="s">
        <v>0</v>
      </c>
      <c r="H1" s="87" t="s">
        <v>1</v>
      </c>
      <c r="I1" s="87" t="s">
        <v>2</v>
      </c>
      <c r="J1" s="98" t="s">
        <v>159</v>
      </c>
      <c r="K1" s="98" t="s">
        <v>160</v>
      </c>
      <c r="L1" s="98" t="s">
        <v>161</v>
      </c>
      <c r="M1" s="87" t="s">
        <v>33</v>
      </c>
      <c r="N1" s="87" t="s">
        <v>245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16" t="s">
        <v>88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24648000000</v>
      </c>
      <c r="L3" s="104">
        <f t="shared" si="0"/>
        <v>5800000000</v>
      </c>
      <c r="M3" s="104">
        <f>M4+M18+M26</f>
        <v>292223100000</v>
      </c>
      <c r="N3" s="37">
        <f>N4+N18+N26</f>
        <v>0</v>
      </c>
      <c r="O3" s="37">
        <f>O4+O18+O26</f>
        <v>213664535539</v>
      </c>
      <c r="P3" s="104">
        <f>P4+P18+P26</f>
        <v>78558564461</v>
      </c>
      <c r="Q3" s="37">
        <f>Q4+Q18+Q26</f>
        <v>213664535539</v>
      </c>
      <c r="R3" s="38">
        <f t="shared" ref="R3:R34" si="1">IF(Q3&gt;1,Q3/(M3-N3),0)</f>
        <v>0.73116921810424984</v>
      </c>
      <c r="S3" s="37">
        <f>S4+S18+S26</f>
        <v>211287377406</v>
      </c>
      <c r="T3" s="39">
        <f>T4+T18+T26</f>
        <v>211287377406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11275000000</v>
      </c>
      <c r="L4" s="24">
        <f t="shared" si="2"/>
        <v>500000000</v>
      </c>
      <c r="M4" s="24">
        <f>SUM(M5:M17)</f>
        <v>196387500000</v>
      </c>
      <c r="N4" s="24">
        <f>SUM(N5:N17)</f>
        <v>0</v>
      </c>
      <c r="O4" s="24">
        <f>SUM(O5:O17)</f>
        <v>144396657850</v>
      </c>
      <c r="P4" s="24">
        <f>SUM(P5:P17)</f>
        <v>51990842150</v>
      </c>
      <c r="Q4" s="24">
        <f>SUM(Q5:Q17)</f>
        <v>144396657850</v>
      </c>
      <c r="R4" s="97">
        <f t="shared" si="1"/>
        <v>0.73526399516262486</v>
      </c>
      <c r="S4" s="14">
        <f>SUM(S5:S17)</f>
        <v>144396657850</v>
      </c>
      <c r="T4" s="33">
        <f>SUM(T5:T17)</f>
        <v>144396657850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132596545204</v>
      </c>
      <c r="K5" s="9">
        <v>8934678582</v>
      </c>
      <c r="L5" s="27">
        <v>0</v>
      </c>
      <c r="M5" s="27">
        <f>J5+K5-L5</f>
        <v>141531223786</v>
      </c>
      <c r="N5" s="9">
        <v>0</v>
      </c>
      <c r="O5" s="9">
        <v>117120830381</v>
      </c>
      <c r="P5" s="27">
        <f t="shared" ref="P5:P17" si="3">+M5-O5-N5</f>
        <v>24410393405</v>
      </c>
      <c r="Q5" s="9">
        <v>117120830381</v>
      </c>
      <c r="R5" s="25">
        <f>IF(Q5&gt;1,Q5/(M5-N5),0)</f>
        <v>0.82752644432786548</v>
      </c>
      <c r="S5" s="9">
        <v>117120830381</v>
      </c>
      <c r="T5" s="10">
        <v>117120830381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2285474123</v>
      </c>
      <c r="P6" s="27">
        <f t="shared" si="3"/>
        <v>506741023</v>
      </c>
      <c r="Q6" s="9">
        <v>2285474123</v>
      </c>
      <c r="R6" s="25">
        <f t="shared" si="1"/>
        <v>0.81851648368646157</v>
      </c>
      <c r="S6" s="9">
        <v>2285474123</v>
      </c>
      <c r="T6" s="10">
        <v>2285474123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1166956388</v>
      </c>
      <c r="P7" s="27">
        <f t="shared" si="3"/>
        <v>456396039</v>
      </c>
      <c r="Q7" s="9">
        <v>1166956388</v>
      </c>
      <c r="R7" s="25">
        <f t="shared" si="1"/>
        <v>0.71885584953143389</v>
      </c>
      <c r="S7" s="9">
        <v>1166956388</v>
      </c>
      <c r="T7" s="10">
        <v>1166956388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219979971</v>
      </c>
      <c r="P8" s="27">
        <f t="shared" si="3"/>
        <v>63870402</v>
      </c>
      <c r="Q8" s="9">
        <v>219979971</v>
      </c>
      <c r="R8" s="25">
        <f t="shared" si="1"/>
        <v>0.77498566824148585</v>
      </c>
      <c r="S8" s="9">
        <v>219979971</v>
      </c>
      <c r="T8" s="10">
        <v>219979971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381828600</v>
      </c>
      <c r="P9" s="27">
        <f t="shared" si="3"/>
        <v>92328877</v>
      </c>
      <c r="Q9" s="9">
        <v>381828600</v>
      </c>
      <c r="R9" s="25">
        <f t="shared" si="1"/>
        <v>0.80527803213361537</v>
      </c>
      <c r="S9" s="9">
        <v>381828600</v>
      </c>
      <c r="T9" s="10">
        <v>381828600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500000000</v>
      </c>
      <c r="L10" s="27">
        <v>0</v>
      </c>
      <c r="M10" s="27">
        <f t="shared" si="4"/>
        <v>6795269334</v>
      </c>
      <c r="N10" s="9">
        <v>0</v>
      </c>
      <c r="O10" s="9">
        <v>6518040038</v>
      </c>
      <c r="P10" s="27">
        <f t="shared" si="3"/>
        <v>277229296</v>
      </c>
      <c r="Q10" s="9">
        <v>6518040038</v>
      </c>
      <c r="R10" s="25">
        <f t="shared" si="1"/>
        <v>0.95920260369770949</v>
      </c>
      <c r="S10" s="9">
        <v>6518040038</v>
      </c>
      <c r="T10" s="10">
        <v>6518040038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4502303221</v>
      </c>
      <c r="K11" s="9">
        <v>114120946</v>
      </c>
      <c r="L11" s="27">
        <v>0</v>
      </c>
      <c r="M11" s="27">
        <f t="shared" si="4"/>
        <v>4616424167</v>
      </c>
      <c r="N11" s="9">
        <v>0</v>
      </c>
      <c r="O11" s="9">
        <v>4014721385</v>
      </c>
      <c r="P11" s="27">
        <f t="shared" si="3"/>
        <v>601702782</v>
      </c>
      <c r="Q11" s="9">
        <v>4014721385</v>
      </c>
      <c r="R11" s="25">
        <f t="shared" si="1"/>
        <v>0.86966042108929109</v>
      </c>
      <c r="S11" s="9">
        <v>4014721385</v>
      </c>
      <c r="T11" s="10">
        <v>4014721385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1033049061</v>
      </c>
      <c r="K12" s="9">
        <v>54845223</v>
      </c>
      <c r="L12" s="27">
        <v>0</v>
      </c>
      <c r="M12" s="27">
        <f t="shared" si="4"/>
        <v>1087894284</v>
      </c>
      <c r="N12" s="9">
        <v>0</v>
      </c>
      <c r="O12" s="9">
        <v>836956917</v>
      </c>
      <c r="P12" s="27">
        <f t="shared" si="3"/>
        <v>250937367</v>
      </c>
      <c r="Q12" s="9">
        <v>836956917</v>
      </c>
      <c r="R12" s="25">
        <f t="shared" si="1"/>
        <v>0.76933662517524548</v>
      </c>
      <c r="S12" s="9">
        <v>836956917</v>
      </c>
      <c r="T12" s="10">
        <v>836956917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1053551046</v>
      </c>
      <c r="L13" s="27">
        <v>500000000</v>
      </c>
      <c r="M13" s="27">
        <f t="shared" si="4"/>
        <v>15836221714</v>
      </c>
      <c r="N13" s="9">
        <v>0</v>
      </c>
      <c r="O13" s="9">
        <v>276109360</v>
      </c>
      <c r="P13" s="27">
        <f t="shared" si="3"/>
        <v>15560112354</v>
      </c>
      <c r="Q13" s="9">
        <v>276109360</v>
      </c>
      <c r="R13" s="25">
        <f t="shared" si="1"/>
        <v>1.7435305275873079E-2</v>
      </c>
      <c r="S13" s="9">
        <v>276109360</v>
      </c>
      <c r="T13" s="10">
        <v>276109360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4939499174</v>
      </c>
      <c r="P14" s="27">
        <f t="shared" si="3"/>
        <v>3049734342</v>
      </c>
      <c r="Q14" s="9">
        <v>4939499174</v>
      </c>
      <c r="R14" s="25">
        <f t="shared" si="1"/>
        <v>0.61826947029495238</v>
      </c>
      <c r="S14" s="9">
        <v>4939499174</v>
      </c>
      <c r="T14" s="51">
        <v>4939499174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30914195</v>
      </c>
      <c r="P15" s="27">
        <f t="shared" si="3"/>
        <v>10313283</v>
      </c>
      <c r="Q15" s="9">
        <v>30914195</v>
      </c>
      <c r="R15" s="25">
        <f t="shared" si="1"/>
        <v>0.74984443627621367</v>
      </c>
      <c r="S15" s="9">
        <v>30914195</v>
      </c>
      <c r="T15" s="51">
        <v>30914195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14509647</v>
      </c>
      <c r="P16" s="27">
        <f t="shared" si="3"/>
        <v>2919105</v>
      </c>
      <c r="Q16" s="9">
        <v>14509647</v>
      </c>
      <c r="R16" s="25">
        <f t="shared" si="1"/>
        <v>0.83251210413688825</v>
      </c>
      <c r="S16" s="9">
        <v>14509647</v>
      </c>
      <c r="T16" s="51">
        <v>14509647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12681197343</v>
      </c>
      <c r="K17" s="9">
        <v>617804203</v>
      </c>
      <c r="L17" s="27">
        <v>0</v>
      </c>
      <c r="M17" s="27">
        <f t="shared" si="4"/>
        <v>13299001546</v>
      </c>
      <c r="N17" s="9">
        <v>0</v>
      </c>
      <c r="O17" s="9">
        <v>6590837671</v>
      </c>
      <c r="P17" s="27">
        <f t="shared" si="3"/>
        <v>6708163875</v>
      </c>
      <c r="Q17" s="9">
        <v>6590837671</v>
      </c>
      <c r="R17" s="25">
        <f t="shared" si="1"/>
        <v>0.49558890930292099</v>
      </c>
      <c r="S17" s="27">
        <v>6590837671</v>
      </c>
      <c r="T17" s="51">
        <v>6590837671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11776000000</v>
      </c>
      <c r="L18" s="24">
        <f t="shared" si="5"/>
        <v>5200000000</v>
      </c>
      <c r="M18" s="24">
        <f>SUM(M19:M25)</f>
        <v>80678900000</v>
      </c>
      <c r="N18" s="14">
        <f>SUM(N19:N32)</f>
        <v>0</v>
      </c>
      <c r="O18" s="14">
        <f>SUM(O19:O25)</f>
        <v>58917989704</v>
      </c>
      <c r="P18" s="24">
        <f>SUM(P19:P25)</f>
        <v>21760910296</v>
      </c>
      <c r="Q18" s="14">
        <f>SUM(Q19:Q25)</f>
        <v>58917989704</v>
      </c>
      <c r="R18" s="26">
        <f t="shared" si="1"/>
        <v>0.73027755341235445</v>
      </c>
      <c r="S18" s="14">
        <f>SUM(S19:S25)</f>
        <v>56540831571</v>
      </c>
      <c r="T18" s="22">
        <f>SUM(T19:T25)</f>
        <v>56540831571</v>
      </c>
      <c r="U18" s="107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236</v>
      </c>
      <c r="H19" s="7" t="s">
        <v>5</v>
      </c>
      <c r="I19" s="8">
        <v>10</v>
      </c>
      <c r="J19" s="9">
        <v>20955700253</v>
      </c>
      <c r="K19" s="9">
        <v>695344798</v>
      </c>
      <c r="L19" s="27">
        <v>0</v>
      </c>
      <c r="M19" s="27">
        <f>J19+K19-L19</f>
        <v>21651045051</v>
      </c>
      <c r="N19" s="27">
        <v>0</v>
      </c>
      <c r="O19" s="9">
        <v>17270743800</v>
      </c>
      <c r="P19" s="27">
        <f t="shared" ref="P19:P25" si="6">+M19-O19-N19</f>
        <v>4380301251</v>
      </c>
      <c r="Q19" s="9">
        <v>17270743800</v>
      </c>
      <c r="R19" s="25">
        <f t="shared" si="1"/>
        <v>0.79768638231170808</v>
      </c>
      <c r="S19" s="9">
        <v>17270743800</v>
      </c>
      <c r="T19" s="51">
        <v>17270743800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237</v>
      </c>
      <c r="H20" s="7" t="s">
        <v>5</v>
      </c>
      <c r="I20" s="8">
        <v>10</v>
      </c>
      <c r="J20" s="9">
        <v>14969608987</v>
      </c>
      <c r="K20" s="9">
        <v>277828436</v>
      </c>
      <c r="L20" s="27">
        <v>0</v>
      </c>
      <c r="M20" s="27">
        <f t="shared" ref="M20:M24" si="7">J20+K20-L20</f>
        <v>15247437423</v>
      </c>
      <c r="N20" s="9">
        <v>0</v>
      </c>
      <c r="O20" s="9">
        <v>12164489400</v>
      </c>
      <c r="P20" s="27">
        <f t="shared" si="6"/>
        <v>3082948023</v>
      </c>
      <c r="Q20" s="9">
        <v>12164489400</v>
      </c>
      <c r="R20" s="25">
        <f t="shared" si="1"/>
        <v>0.79780549757498753</v>
      </c>
      <c r="S20" s="9">
        <v>12164489400</v>
      </c>
      <c r="T20" s="51">
        <v>12164489400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111</v>
      </c>
      <c r="H21" s="7" t="s">
        <v>5</v>
      </c>
      <c r="I21" s="8">
        <v>10</v>
      </c>
      <c r="J21" s="9">
        <v>17568434375</v>
      </c>
      <c r="K21" s="9">
        <v>5234729418</v>
      </c>
      <c r="L21" s="27">
        <v>5200000000</v>
      </c>
      <c r="M21" s="27">
        <f t="shared" si="7"/>
        <v>17603163793</v>
      </c>
      <c r="N21" s="9">
        <v>0</v>
      </c>
      <c r="O21" s="9">
        <v>6916429771</v>
      </c>
      <c r="P21" s="27">
        <f t="shared" si="6"/>
        <v>10686734022</v>
      </c>
      <c r="Q21" s="9">
        <v>6916429771</v>
      </c>
      <c r="R21" s="25">
        <f t="shared" si="1"/>
        <v>0.3929083346796079</v>
      </c>
      <c r="S21" s="9">
        <v>6916429771</v>
      </c>
      <c r="T21" s="51">
        <v>6916429771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238</v>
      </c>
      <c r="H22" s="7" t="s">
        <v>5</v>
      </c>
      <c r="I22" s="8">
        <v>10</v>
      </c>
      <c r="J22" s="9">
        <v>7492866412</v>
      </c>
      <c r="K22" s="9">
        <v>278140786</v>
      </c>
      <c r="L22" s="27">
        <v>0</v>
      </c>
      <c r="M22" s="27">
        <f t="shared" si="7"/>
        <v>7771007198</v>
      </c>
      <c r="N22" s="9">
        <v>0</v>
      </c>
      <c r="O22" s="9">
        <v>6206218600</v>
      </c>
      <c r="P22" s="27">
        <f t="shared" si="6"/>
        <v>1564788598</v>
      </c>
      <c r="Q22" s="9">
        <v>6206218600</v>
      </c>
      <c r="R22" s="25">
        <f t="shared" si="1"/>
        <v>0.7986376079534806</v>
      </c>
      <c r="S22" s="9">
        <v>6206218600</v>
      </c>
      <c r="T22" s="51">
        <v>6206218600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3401416833</v>
      </c>
      <c r="K23" s="9">
        <v>5200000000</v>
      </c>
      <c r="L23" s="27">
        <v>0</v>
      </c>
      <c r="M23" s="27">
        <f t="shared" si="7"/>
        <v>8601416833</v>
      </c>
      <c r="N23" s="9">
        <v>0</v>
      </c>
      <c r="O23" s="9">
        <v>8601416833</v>
      </c>
      <c r="P23" s="27">
        <f t="shared" si="6"/>
        <v>0</v>
      </c>
      <c r="Q23" s="9">
        <v>8601416833</v>
      </c>
      <c r="R23" s="25">
        <f t="shared" si="1"/>
        <v>1</v>
      </c>
      <c r="S23" s="9">
        <v>6224258700</v>
      </c>
      <c r="T23" s="51">
        <v>6224258700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4655027100</v>
      </c>
      <c r="P24" s="27">
        <f t="shared" si="6"/>
        <v>1263632204</v>
      </c>
      <c r="Q24" s="9">
        <v>4655027100</v>
      </c>
      <c r="R24" s="25">
        <f t="shared" si="1"/>
        <v>0.78650026313459176</v>
      </c>
      <c r="S24" s="9">
        <v>4655027100</v>
      </c>
      <c r="T24" s="51">
        <v>4655027100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89956562</v>
      </c>
      <c r="L25" s="27">
        <v>0</v>
      </c>
      <c r="M25" s="27">
        <f>J25+K25-L25</f>
        <v>3886170398</v>
      </c>
      <c r="N25" s="9">
        <v>0</v>
      </c>
      <c r="O25" s="9">
        <v>3103664200</v>
      </c>
      <c r="P25" s="27">
        <f t="shared" si="6"/>
        <v>782506198</v>
      </c>
      <c r="Q25" s="9">
        <v>3103664200</v>
      </c>
      <c r="R25" s="25">
        <f t="shared" si="1"/>
        <v>0.79864336406794889</v>
      </c>
      <c r="S25" s="9">
        <v>3103664200</v>
      </c>
      <c r="T25" s="51">
        <v>3103664200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1597000000</v>
      </c>
      <c r="L26" s="24">
        <f t="shared" si="8"/>
        <v>100000000</v>
      </c>
      <c r="M26" s="24">
        <f>M27+M28+M29+M30+M31+M32</f>
        <v>15156700000</v>
      </c>
      <c r="N26" s="14">
        <v>0</v>
      </c>
      <c r="O26" s="14">
        <f>O27+O28+O29+O30+O31+O32</f>
        <v>10349887985</v>
      </c>
      <c r="P26" s="24">
        <f>P27+P28+P29+P30+P31+P32</f>
        <v>4806812015</v>
      </c>
      <c r="Q26" s="14">
        <f>Q27+Q28+Q29+Q30+Q31+Q32</f>
        <v>10349887985</v>
      </c>
      <c r="R26" s="26">
        <f t="shared" si="1"/>
        <v>0.68285893268323583</v>
      </c>
      <c r="S26" s="24">
        <f>S27+S28+S29+S30+S31+S32</f>
        <v>10349887985</v>
      </c>
      <c r="T26" s="22">
        <f>T27+T28+T29+T30+T31+T32</f>
        <v>10349887985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143</v>
      </c>
      <c r="H27" s="7" t="s">
        <v>5</v>
      </c>
      <c r="I27" s="8" t="s">
        <v>6</v>
      </c>
      <c r="J27" s="9">
        <v>10877487708</v>
      </c>
      <c r="K27" s="9">
        <v>1132395094</v>
      </c>
      <c r="L27" s="27">
        <v>100000000</v>
      </c>
      <c r="M27" s="27">
        <f>J27+K27-L27</f>
        <v>11909882802</v>
      </c>
      <c r="N27" s="9">
        <v>0</v>
      </c>
      <c r="O27" s="9">
        <v>7842300726</v>
      </c>
      <c r="P27" s="27">
        <f t="shared" ref="P27:P32" si="9">+M27-O27-N27</f>
        <v>4067582076</v>
      </c>
      <c r="Q27" s="9">
        <v>7842300726</v>
      </c>
      <c r="R27" s="25">
        <f t="shared" si="1"/>
        <v>0.65847001657170467</v>
      </c>
      <c r="S27" s="9">
        <v>7842300726</v>
      </c>
      <c r="T27" s="51">
        <v>7842300726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361988938</v>
      </c>
      <c r="K28" s="9">
        <f>100000000+90490346</f>
        <v>190490346</v>
      </c>
      <c r="L28" s="27">
        <v>0</v>
      </c>
      <c r="M28" s="27">
        <f t="shared" ref="M28:M32" si="10">J28+K28-L28</f>
        <v>552479284</v>
      </c>
      <c r="N28" s="9">
        <v>0</v>
      </c>
      <c r="O28" s="9">
        <v>429571277</v>
      </c>
      <c r="P28" s="27">
        <f t="shared" si="9"/>
        <v>122908007</v>
      </c>
      <c r="Q28" s="9">
        <v>429571277</v>
      </c>
      <c r="R28" s="25">
        <f t="shared" si="1"/>
        <v>0.7775337274003562</v>
      </c>
      <c r="S28" s="9">
        <v>429571277</v>
      </c>
      <c r="T28" s="51">
        <v>429571277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710252976</v>
      </c>
      <c r="K29" s="9">
        <v>130094052</v>
      </c>
      <c r="L29" s="27">
        <v>0</v>
      </c>
      <c r="M29" s="27">
        <f t="shared" si="10"/>
        <v>840347028</v>
      </c>
      <c r="N29" s="9">
        <v>0</v>
      </c>
      <c r="O29" s="9">
        <v>566106565</v>
      </c>
      <c r="P29" s="27">
        <f t="shared" si="9"/>
        <v>274240463</v>
      </c>
      <c r="Q29" s="9">
        <v>566106565</v>
      </c>
      <c r="R29" s="25">
        <f t="shared" si="1"/>
        <v>0.67365807950474477</v>
      </c>
      <c r="S29" s="9">
        <v>566106565</v>
      </c>
      <c r="T29" s="51">
        <v>566106565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421817495</v>
      </c>
      <c r="K30" s="9">
        <v>8861917</v>
      </c>
      <c r="L30" s="27">
        <v>0</v>
      </c>
      <c r="M30" s="27">
        <f t="shared" si="10"/>
        <v>430679412</v>
      </c>
      <c r="N30" s="9">
        <v>0</v>
      </c>
      <c r="O30" s="9">
        <v>356177401</v>
      </c>
      <c r="P30" s="27">
        <f t="shared" si="9"/>
        <v>74502011</v>
      </c>
      <c r="Q30" s="9">
        <v>356177401</v>
      </c>
      <c r="R30" s="25">
        <f t="shared" si="1"/>
        <v>0.82701283385238766</v>
      </c>
      <c r="S30" s="9">
        <v>356177401</v>
      </c>
      <c r="T30" s="51">
        <v>356177401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1200108736</v>
      </c>
      <c r="K31" s="9">
        <v>134575098</v>
      </c>
      <c r="L31" s="27">
        <v>0</v>
      </c>
      <c r="M31" s="27">
        <f t="shared" si="10"/>
        <v>1334683834</v>
      </c>
      <c r="N31" s="9">
        <v>0</v>
      </c>
      <c r="O31" s="9">
        <v>1111418196</v>
      </c>
      <c r="P31" s="27">
        <f t="shared" si="9"/>
        <v>223265638</v>
      </c>
      <c r="Q31" s="9">
        <v>1111418196</v>
      </c>
      <c r="R31" s="25">
        <f t="shared" si="1"/>
        <v>0.83272020510589329</v>
      </c>
      <c r="S31" s="9">
        <v>1111418196</v>
      </c>
      <c r="T31" s="51">
        <v>1111418196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88044147</v>
      </c>
      <c r="K32" s="9">
        <v>583493</v>
      </c>
      <c r="L32" s="27">
        <v>0</v>
      </c>
      <c r="M32" s="27">
        <f t="shared" si="10"/>
        <v>88627640</v>
      </c>
      <c r="N32" s="9">
        <v>0</v>
      </c>
      <c r="O32" s="9">
        <v>44313820</v>
      </c>
      <c r="P32" s="27">
        <f t="shared" si="9"/>
        <v>44313820</v>
      </c>
      <c r="Q32" s="9">
        <v>44313820</v>
      </c>
      <c r="R32" s="25">
        <f t="shared" si="1"/>
        <v>0.5</v>
      </c>
      <c r="S32" s="9">
        <v>44313820</v>
      </c>
      <c r="T32" s="51">
        <v>44313820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24648000000</v>
      </c>
      <c r="L33" s="64">
        <f t="shared" si="11"/>
        <v>5800000000</v>
      </c>
      <c r="M33" s="64">
        <f>M3</f>
        <v>292223100000</v>
      </c>
      <c r="N33" s="64">
        <f>N3</f>
        <v>0</v>
      </c>
      <c r="O33" s="64">
        <f>O3</f>
        <v>213664535539</v>
      </c>
      <c r="P33" s="64">
        <f>P3</f>
        <v>78558564461</v>
      </c>
      <c r="Q33" s="64">
        <f>Q3</f>
        <v>213664535539</v>
      </c>
      <c r="R33" s="76">
        <f>IF(Q33&gt;1,Q33/(M33-N33),0)</f>
        <v>0.73116921810424984</v>
      </c>
      <c r="S33" s="64">
        <f>S3</f>
        <v>211287377406</v>
      </c>
      <c r="T33" s="73">
        <f>T3</f>
        <v>211287377406</v>
      </c>
      <c r="U33" s="106"/>
    </row>
    <row r="34" spans="1:21" ht="15" customHeight="1" thickBot="1" x14ac:dyDescent="0.3">
      <c r="A34" s="128" t="s">
        <v>25</v>
      </c>
      <c r="B34" s="129"/>
      <c r="C34" s="129"/>
      <c r="D34" s="129"/>
      <c r="E34" s="129"/>
      <c r="F34" s="129"/>
      <c r="G34" s="129"/>
      <c r="H34" s="129"/>
      <c r="I34" s="130"/>
      <c r="J34" s="77">
        <f>J33</f>
        <v>273375100000</v>
      </c>
      <c r="K34" s="77">
        <f t="shared" ref="K34:L34" si="12">K33</f>
        <v>24648000000</v>
      </c>
      <c r="L34" s="77">
        <f t="shared" si="12"/>
        <v>5800000000</v>
      </c>
      <c r="M34" s="77">
        <f t="shared" ref="M34:T34" si="13">M33</f>
        <v>292223100000</v>
      </c>
      <c r="N34" s="77">
        <f t="shared" si="13"/>
        <v>0</v>
      </c>
      <c r="O34" s="77">
        <f t="shared" si="13"/>
        <v>213664535539</v>
      </c>
      <c r="P34" s="77">
        <f t="shared" si="13"/>
        <v>78558564461</v>
      </c>
      <c r="Q34" s="77">
        <f t="shared" si="13"/>
        <v>213664535539</v>
      </c>
      <c r="R34" s="76">
        <f t="shared" si="1"/>
        <v>0.73116921810424984</v>
      </c>
      <c r="S34" s="77">
        <f t="shared" si="13"/>
        <v>211287377406</v>
      </c>
      <c r="T34" s="78">
        <f t="shared" si="13"/>
        <v>211287377406</v>
      </c>
    </row>
    <row r="35" spans="1:21" ht="15.75" customHeight="1" thickBot="1" x14ac:dyDescent="0.3">
      <c r="A35" s="122" t="s">
        <v>107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4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1509635371</v>
      </c>
      <c r="K36" s="48">
        <f t="shared" ref="K36:Q36" si="14">K37+K38+K39+K40+K41+K42+K43</f>
        <v>1182821710</v>
      </c>
      <c r="L36" s="48">
        <f t="shared" si="14"/>
        <v>702574294</v>
      </c>
      <c r="M36" s="48">
        <f t="shared" si="14"/>
        <v>1989882787</v>
      </c>
      <c r="N36" s="48">
        <f t="shared" si="14"/>
        <v>66800000</v>
      </c>
      <c r="O36" s="48">
        <f t="shared" si="14"/>
        <v>1746522080.45</v>
      </c>
      <c r="P36" s="48">
        <f>P37+P38+P39+P40+P41+P42+P43</f>
        <v>176560706.55000001</v>
      </c>
      <c r="Q36" s="48">
        <f t="shared" si="14"/>
        <v>169397630.44999999</v>
      </c>
      <c r="R36" s="62">
        <f t="shared" ref="R36:R78" si="15">IF(Q36&gt;1,Q36/(M36-N36),0)</f>
        <v>8.8086499237123056E-2</v>
      </c>
      <c r="S36" s="48">
        <f>S37+S38+S39+S40+S42+S41+S43</f>
        <v>66088879</v>
      </c>
      <c r="T36" s="48">
        <f>T37+T38+T39+T40+T42+T41+T43</f>
        <v>66088879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145</v>
      </c>
      <c r="H37" s="7" t="s">
        <v>5</v>
      </c>
      <c r="I37" s="8">
        <v>10</v>
      </c>
      <c r="J37" s="44">
        <v>27595412</v>
      </c>
      <c r="K37" s="44">
        <f>26221172+4647724+58000000+58000000+56028932+63459820+15147576+14944029</f>
        <v>296449253</v>
      </c>
      <c r="L37" s="44">
        <f>1184912+1000000+23255144+241370+5216236+2700000+4959820+1857552</f>
        <v>40415034</v>
      </c>
      <c r="M37" s="44">
        <f>J37+K37-L37</f>
        <v>283629631</v>
      </c>
      <c r="N37" s="44"/>
      <c r="O37" s="44">
        <v>190890302</v>
      </c>
      <c r="P37" s="27">
        <f t="shared" ref="P37:P43" si="16">+M37-O37-N37</f>
        <v>92739329</v>
      </c>
      <c r="Q37" s="27">
        <v>77090302</v>
      </c>
      <c r="R37" s="69">
        <f>IF(Q37&gt;1,Q37/(M37-N37),0)</f>
        <v>0.27179918306913425</v>
      </c>
      <c r="S37" s="44">
        <v>33120500</v>
      </c>
      <c r="T37" s="70">
        <v>33120500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112</v>
      </c>
      <c r="H38" s="7" t="s">
        <v>5</v>
      </c>
      <c r="I38" s="8">
        <v>10</v>
      </c>
      <c r="J38" s="44">
        <v>19500000</v>
      </c>
      <c r="K38" s="44">
        <f>90578039+1432671+82000000+43000000+1163006+10504084+3311668</f>
        <v>231989468</v>
      </c>
      <c r="L38" s="44">
        <f>2380000+7343039</f>
        <v>9723039</v>
      </c>
      <c r="M38" s="44">
        <f t="shared" ref="M38:M43" si="17">J38+K38-L38</f>
        <v>241766429</v>
      </c>
      <c r="N38" s="44"/>
      <c r="O38" s="44">
        <v>238379257.44999999</v>
      </c>
      <c r="P38" s="27">
        <f t="shared" si="16"/>
        <v>3387171.5500000119</v>
      </c>
      <c r="Q38" s="27">
        <v>65497499.450000003</v>
      </c>
      <c r="R38" s="69">
        <f t="shared" si="15"/>
        <v>0.27091230044184506</v>
      </c>
      <c r="S38" s="44">
        <v>19652000</v>
      </c>
      <c r="T38" s="70">
        <v>19652000</v>
      </c>
      <c r="U38" s="106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113</v>
      </c>
      <c r="H39" s="7" t="s">
        <v>5</v>
      </c>
      <c r="I39" s="8">
        <v>10</v>
      </c>
      <c r="J39" s="44">
        <v>15000000</v>
      </c>
      <c r="K39" s="44">
        <f>18000000+6266254</f>
        <v>24266254</v>
      </c>
      <c r="L39" s="44">
        <f>10000+490000</f>
        <v>500000</v>
      </c>
      <c r="M39" s="44">
        <f t="shared" si="17"/>
        <v>38766254</v>
      </c>
      <c r="N39" s="44"/>
      <c r="O39" s="44">
        <v>32500000</v>
      </c>
      <c r="P39" s="27">
        <f t="shared" si="16"/>
        <v>6266254</v>
      </c>
      <c r="Q39" s="27">
        <v>14500000</v>
      </c>
      <c r="R39" s="69">
        <f t="shared" si="15"/>
        <v>0.3740366556954407</v>
      </c>
      <c r="S39" s="44">
        <v>3648000</v>
      </c>
      <c r="T39" s="70">
        <v>3648000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125</v>
      </c>
      <c r="H40" s="7" t="s">
        <v>5</v>
      </c>
      <c r="I40" s="8">
        <v>10</v>
      </c>
      <c r="J40" s="44">
        <v>1435539959</v>
      </c>
      <c r="K40" s="44">
        <f>611696735</f>
        <v>611696735</v>
      </c>
      <c r="L40" s="44">
        <f>150193000+325050000+37957000+5000000+133384600</f>
        <v>651584600</v>
      </c>
      <c r="M40" s="44">
        <f>J40+K40-L40</f>
        <v>1395652094</v>
      </c>
      <c r="N40" s="44">
        <v>66800000</v>
      </c>
      <c r="O40" s="44">
        <v>1267642692</v>
      </c>
      <c r="P40" s="27">
        <f>+M40-O40-N40</f>
        <v>61209402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42</v>
      </c>
      <c r="G41" s="23" t="s">
        <v>126</v>
      </c>
      <c r="H41" s="7" t="s">
        <v>5</v>
      </c>
      <c r="I41" s="8">
        <v>10</v>
      </c>
      <c r="J41" s="44"/>
      <c r="K41" s="44">
        <v>4800000</v>
      </c>
      <c r="L41" s="44"/>
      <c r="M41" s="44">
        <f t="shared" si="17"/>
        <v>4800000</v>
      </c>
      <c r="N41" s="44"/>
      <c r="O41" s="44">
        <v>4800000</v>
      </c>
      <c r="P41" s="27">
        <f t="shared" si="16"/>
        <v>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127</v>
      </c>
      <c r="H42" s="7" t="s">
        <v>5</v>
      </c>
      <c r="I42" s="8">
        <v>10</v>
      </c>
      <c r="J42" s="44">
        <v>10000000</v>
      </c>
      <c r="K42" s="44">
        <v>0</v>
      </c>
      <c r="L42" s="44">
        <v>331621</v>
      </c>
      <c r="M42" s="44">
        <f t="shared" si="17"/>
        <v>9668379</v>
      </c>
      <c r="N42" s="44"/>
      <c r="O42" s="44">
        <v>9668379</v>
      </c>
      <c r="P42" s="27">
        <f t="shared" si="16"/>
        <v>0</v>
      </c>
      <c r="Q42" s="27">
        <v>9668379</v>
      </c>
      <c r="R42" s="69">
        <f t="shared" si="15"/>
        <v>1</v>
      </c>
      <c r="S42" s="44">
        <v>9668379</v>
      </c>
      <c r="T42" s="70">
        <v>9668379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147</v>
      </c>
      <c r="H43" s="7" t="s">
        <v>5</v>
      </c>
      <c r="I43" s="8">
        <v>10</v>
      </c>
      <c r="J43" s="44">
        <v>2000000</v>
      </c>
      <c r="K43" s="44">
        <f>1120000+12500000</f>
        <v>13620000</v>
      </c>
      <c r="L43" s="44">
        <v>20000</v>
      </c>
      <c r="M43" s="44">
        <f t="shared" si="17"/>
        <v>15600000</v>
      </c>
      <c r="N43" s="44"/>
      <c r="O43" s="44">
        <v>2641450</v>
      </c>
      <c r="P43" s="27">
        <f t="shared" si="16"/>
        <v>12958550</v>
      </c>
      <c r="Q43" s="27">
        <v>2641450</v>
      </c>
      <c r="R43" s="69">
        <f t="shared" si="15"/>
        <v>0.16932371794871795</v>
      </c>
      <c r="S43" s="44">
        <v>0</v>
      </c>
      <c r="T43" s="70">
        <v>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 t="shared" ref="J44:Q44" si="18">J47+J48+J49+J51+J52+J53+J54+J55+J56+J57+J58+J59+J60+J61+J64+J65+J66+J67+J68+J69+J70+J72+J73+J76+J77+J78+J79+J80+J81+J82+J83+J84+J85+J86+J87+J50+J62+J63+J71</f>
        <v>40216964629</v>
      </c>
      <c r="K44" s="48">
        <f t="shared" si="18"/>
        <v>4342759293.6700001</v>
      </c>
      <c r="L44" s="48">
        <f t="shared" si="18"/>
        <v>4823006709.6700001</v>
      </c>
      <c r="M44" s="48">
        <f t="shared" si="18"/>
        <v>39736717213</v>
      </c>
      <c r="N44" s="48">
        <f t="shared" si="18"/>
        <v>3284400000</v>
      </c>
      <c r="O44" s="48">
        <f>O47+O48+O49+O51+O52+O53+O54+O55+O56+O57+O58+O59+O60+O61+O64+O65+O66+O67+O68+O69+O70+O72+O73+O76+O77+O78+O79+O80+O81+O82+O83+O84+O85+O86+O87+O50+O62+O63+O71</f>
        <v>35932592171.989998</v>
      </c>
      <c r="P44" s="48">
        <f>P47+P48+P49+P51+P52+P53+P54+P55+P56+P57+P58+P59+P60+P61+P64+P65+P66+P67+P68+P69+P70+P72+P73+P76+P77+P78+P79+P80+P81+P82+P83+P84+P85+P86+P87+P50+P62+P63+P71</f>
        <v>519725041.01000047</v>
      </c>
      <c r="Q44" s="48">
        <f t="shared" si="18"/>
        <v>33770639266.919998</v>
      </c>
      <c r="R44" s="62">
        <f t="shared" si="15"/>
        <v>0.9264332653968117</v>
      </c>
      <c r="S44" s="24">
        <f>S47+S48+S49+S50+S51+S52+S53+S54+S55+S56+S57+S58+S59+S60+S61+S64+S65+S66+S67+S68+S69+S70+S72+S73+S76+S77+S78+S79+S80+S81+S82+S83+S84+S85+S86+S87+S62+S63</f>
        <v>24983574111.979996</v>
      </c>
      <c r="T44" s="24">
        <f>T47+T48+T49+T50+T51+T52+T53+T54+T55+T56+T57+T58+T59+T60+T61+T64+T65+T66+T67+T68+T69+T70+T72+T73+T76+T77+T78+T79+T80+T81+T82+T83+T84+T85+T86+T87+T62+T63</f>
        <v>24962492368.319996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J74</f>
        <v>786000000</v>
      </c>
      <c r="K45" s="48">
        <f t="shared" ref="K45:L45" si="19">K74</f>
        <v>0</v>
      </c>
      <c r="L45" s="48">
        <f t="shared" si="19"/>
        <v>0</v>
      </c>
      <c r="M45" s="48">
        <f>M74</f>
        <v>786000000</v>
      </c>
      <c r="N45" s="48">
        <f t="shared" ref="N45:Q46" si="20">N74</f>
        <v>0</v>
      </c>
      <c r="O45" s="48">
        <f t="shared" si="20"/>
        <v>605022219.33000004</v>
      </c>
      <c r="P45" s="24">
        <f t="shared" si="20"/>
        <v>180977780.66999996</v>
      </c>
      <c r="Q45" s="24">
        <f t="shared" si="20"/>
        <v>605022219.33000004</v>
      </c>
      <c r="R45" s="62">
        <f t="shared" si="15"/>
        <v>0.76974837064885504</v>
      </c>
      <c r="S45" s="48">
        <f>S74</f>
        <v>561013624</v>
      </c>
      <c r="T45" s="68">
        <f>T74</f>
        <v>561013624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J75</f>
        <v>391600000</v>
      </c>
      <c r="K46" s="48">
        <f t="shared" ref="K46:L46" si="21">K75</f>
        <v>0</v>
      </c>
      <c r="L46" s="48">
        <f t="shared" si="21"/>
        <v>0</v>
      </c>
      <c r="M46" s="48">
        <f>M75</f>
        <v>391600000</v>
      </c>
      <c r="N46" s="48">
        <f t="shared" si="20"/>
        <v>0</v>
      </c>
      <c r="O46" s="48">
        <f>O75</f>
        <v>391600000</v>
      </c>
      <c r="P46" s="24">
        <f>P75</f>
        <v>0</v>
      </c>
      <c r="Q46" s="24">
        <f>Q75</f>
        <v>391600000</v>
      </c>
      <c r="R46" s="62">
        <f t="shared" si="15"/>
        <v>1</v>
      </c>
      <c r="S46" s="48">
        <f>S75</f>
        <v>391600000</v>
      </c>
      <c r="T46" s="68">
        <f>T75</f>
        <v>391600000</v>
      </c>
    </row>
    <row r="47" spans="1:21" s="47" customFormat="1" ht="15" customHeight="1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35</v>
      </c>
      <c r="F47" s="65" t="s">
        <v>42</v>
      </c>
      <c r="G47" s="23" t="s">
        <v>243</v>
      </c>
      <c r="H47" s="7" t="s">
        <v>5</v>
      </c>
      <c r="I47" s="8">
        <v>10</v>
      </c>
      <c r="J47" s="48"/>
      <c r="K47" s="44">
        <v>700000</v>
      </c>
      <c r="L47" s="44"/>
      <c r="M47" s="44">
        <f>J47+K47-L47</f>
        <v>700000</v>
      </c>
      <c r="N47" s="48">
        <v>0</v>
      </c>
      <c r="O47" s="44">
        <v>700000</v>
      </c>
      <c r="P47" s="24">
        <f t="shared" ref="P47:P87" si="22">+M47-O47-N47</f>
        <v>0</v>
      </c>
      <c r="Q47" s="24">
        <v>0</v>
      </c>
      <c r="R47" s="62">
        <v>0</v>
      </c>
      <c r="S47" s="48">
        <v>0</v>
      </c>
      <c r="T47" s="68">
        <v>0</v>
      </c>
    </row>
    <row r="48" spans="1:21" s="6" customFormat="1" ht="32.2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114</v>
      </c>
      <c r="H48" s="7" t="s">
        <v>5</v>
      </c>
      <c r="I48" s="8">
        <v>10</v>
      </c>
      <c r="J48" s="44">
        <v>6000000</v>
      </c>
      <c r="K48" s="44">
        <v>0</v>
      </c>
      <c r="L48" s="44">
        <f>3834</f>
        <v>3834</v>
      </c>
      <c r="M48" s="44">
        <f>J48+K48-L48</f>
        <v>5996166</v>
      </c>
      <c r="N48" s="44">
        <v>0</v>
      </c>
      <c r="O48" s="44">
        <v>5996166</v>
      </c>
      <c r="P48" s="27">
        <f t="shared" si="22"/>
        <v>0</v>
      </c>
      <c r="Q48" s="9">
        <v>5996166</v>
      </c>
      <c r="R48" s="25">
        <f t="shared" si="15"/>
        <v>1</v>
      </c>
      <c r="S48" s="9">
        <v>0</v>
      </c>
      <c r="T48" s="1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43</v>
      </c>
      <c r="G49" s="23" t="s">
        <v>146</v>
      </c>
      <c r="H49" s="7" t="s">
        <v>5</v>
      </c>
      <c r="I49" s="8">
        <v>10</v>
      </c>
      <c r="J49" s="44">
        <v>1200000</v>
      </c>
      <c r="K49" s="44">
        <v>0</v>
      </c>
      <c r="L49" s="44">
        <v>0</v>
      </c>
      <c r="M49" s="44">
        <f t="shared" ref="M49:M87" si="23">J49+K49-L49</f>
        <v>1200000</v>
      </c>
      <c r="N49" s="44">
        <v>0</v>
      </c>
      <c r="O49" s="44">
        <v>1200000</v>
      </c>
      <c r="P49" s="27">
        <f t="shared" si="22"/>
        <v>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242</v>
      </c>
      <c r="H50" s="7" t="s">
        <v>5</v>
      </c>
      <c r="I50" s="8">
        <v>10</v>
      </c>
      <c r="J50" s="44">
        <v>0</v>
      </c>
      <c r="K50" s="44">
        <f>35000000+48650+1000000+4132771+287087</f>
        <v>40468508</v>
      </c>
      <c r="L50" s="44">
        <f>33635000+15000+350+252680</f>
        <v>33903030</v>
      </c>
      <c r="M50" s="44">
        <f t="shared" ref="M50" si="24">J50+K50-L50</f>
        <v>6565478</v>
      </c>
      <c r="N50" s="44">
        <v>0</v>
      </c>
      <c r="O50" s="44">
        <v>6565478</v>
      </c>
      <c r="P50" s="109">
        <f>+M50-O50-N50</f>
        <v>0</v>
      </c>
      <c r="Q50" s="9">
        <v>2145620</v>
      </c>
      <c r="R50" s="25">
        <f t="shared" ref="R50" si="25">IF(Q50&gt;1,Q50/(M50-N50),0)</f>
        <v>0.32680331881395386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115</v>
      </c>
      <c r="H51" s="7" t="s">
        <v>5</v>
      </c>
      <c r="I51" s="8" t="s">
        <v>6</v>
      </c>
      <c r="J51" s="44">
        <v>498366950</v>
      </c>
      <c r="K51" s="44">
        <f>7172000+16609104+13737919.66+139837.17+70074948+25260000+58406476+20176796+12956282</f>
        <v>224533362.82999998</v>
      </c>
      <c r="L51" s="44">
        <f>1500000+652600+3888306+175786+182000+4112000+8675383.18+18614796+276962+11451238</f>
        <v>49529071.18</v>
      </c>
      <c r="M51" s="44">
        <f t="shared" si="23"/>
        <v>673371241.64999998</v>
      </c>
      <c r="N51" s="9">
        <v>0</v>
      </c>
      <c r="O51" s="44">
        <v>659919240.65999997</v>
      </c>
      <c r="P51" s="27">
        <f>+M51-O51-N51</f>
        <v>13452000.99000001</v>
      </c>
      <c r="Q51" s="9">
        <v>638179240.65999997</v>
      </c>
      <c r="R51" s="25">
        <f t="shared" si="15"/>
        <v>0.94773759434132199</v>
      </c>
      <c r="S51" s="9">
        <v>262315588.90000001</v>
      </c>
      <c r="T51" s="10">
        <v>262315588.90000001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116</v>
      </c>
      <c r="H52" s="7" t="s">
        <v>5</v>
      </c>
      <c r="I52" s="8" t="s">
        <v>6</v>
      </c>
      <c r="J52" s="44">
        <v>510003</v>
      </c>
      <c r="K52" s="44">
        <f>813997+2500000+5614250</f>
        <v>8928247</v>
      </c>
      <c r="L52" s="44">
        <v>1102250</v>
      </c>
      <c r="M52" s="44">
        <f t="shared" si="23"/>
        <v>8336000</v>
      </c>
      <c r="N52" s="9">
        <v>0</v>
      </c>
      <c r="O52" s="44">
        <v>8336000</v>
      </c>
      <c r="P52" s="27">
        <f t="shared" si="22"/>
        <v>0</v>
      </c>
      <c r="Q52" s="9">
        <v>5676000</v>
      </c>
      <c r="R52" s="25">
        <f t="shared" si="15"/>
        <v>0.68090211132437617</v>
      </c>
      <c r="S52" s="9">
        <v>1164000</v>
      </c>
      <c r="T52" s="10">
        <v>1164000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248</v>
      </c>
      <c r="H53" s="7" t="s">
        <v>5</v>
      </c>
      <c r="I53" s="8">
        <v>10</v>
      </c>
      <c r="J53" s="44">
        <v>252146927</v>
      </c>
      <c r="K53" s="44">
        <f>45000000+19701540+4684912+500000+16853132+79058150+3013420+5316744+6737040+4267912+10641300+391500</f>
        <v>196165650</v>
      </c>
      <c r="L53" s="44">
        <f>8670725.17+3268282+13000000+39684912+13656217+595923+3918+7338+28960+15000000+716070</f>
        <v>94632345.170000002</v>
      </c>
      <c r="M53" s="44">
        <f t="shared" si="23"/>
        <v>353680231.82999998</v>
      </c>
      <c r="N53" s="27">
        <v>0</v>
      </c>
      <c r="O53" s="44">
        <v>353680231</v>
      </c>
      <c r="P53" s="27">
        <f t="shared" si="22"/>
        <v>0.82999998331069946</v>
      </c>
      <c r="Q53" s="9">
        <v>271689401</v>
      </c>
      <c r="R53" s="25">
        <f t="shared" si="15"/>
        <v>0.76817807880930788</v>
      </c>
      <c r="S53" s="9">
        <v>88712990</v>
      </c>
      <c r="T53" s="10">
        <v>88712990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117</v>
      </c>
      <c r="H54" s="7" t="s">
        <v>5</v>
      </c>
      <c r="I54" s="8" t="s">
        <v>6</v>
      </c>
      <c r="J54" s="44">
        <v>295308239</v>
      </c>
      <c r="K54" s="44">
        <f>10000+20280+500000+4500000+9020000+6000000+3000000+1009800+2000000+2000000</f>
        <v>28060080</v>
      </c>
      <c r="L54" s="44">
        <f>159356+7000000+151800+3119344+5280+1300000</f>
        <v>11735780</v>
      </c>
      <c r="M54" s="44">
        <f t="shared" si="23"/>
        <v>311632539</v>
      </c>
      <c r="N54" s="27">
        <v>0</v>
      </c>
      <c r="O54" s="44">
        <v>270246633</v>
      </c>
      <c r="P54" s="27">
        <f t="shared" si="22"/>
        <v>41385906</v>
      </c>
      <c r="Q54" s="9">
        <v>257746633</v>
      </c>
      <c r="R54" s="25">
        <f t="shared" si="15"/>
        <v>0.82708511064693413</v>
      </c>
      <c r="S54" s="9">
        <v>176361174.06</v>
      </c>
      <c r="T54" s="10">
        <v>174128097.41999999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118</v>
      </c>
      <c r="H55" s="7" t="s">
        <v>5</v>
      </c>
      <c r="I55" s="8" t="s">
        <v>6</v>
      </c>
      <c r="J55" s="44">
        <v>292736000</v>
      </c>
      <c r="K55" s="44">
        <f>10875072+28248774+43200000+25000000+2000000+360870+430000+1000000</f>
        <v>111114716</v>
      </c>
      <c r="L55" s="44">
        <f>1431502+4008000+79942+14228000+1432000+4924857+6872</f>
        <v>26111173</v>
      </c>
      <c r="M55" s="44">
        <f t="shared" si="23"/>
        <v>377739543</v>
      </c>
      <c r="N55" s="27">
        <v>0</v>
      </c>
      <c r="O55" s="44">
        <v>372975301</v>
      </c>
      <c r="P55" s="44">
        <f t="shared" si="22"/>
        <v>4764242</v>
      </c>
      <c r="Q55" s="9">
        <v>369545301</v>
      </c>
      <c r="R55" s="25">
        <f t="shared" si="15"/>
        <v>0.97830716388620187</v>
      </c>
      <c r="S55" s="9">
        <v>70404371.780000001</v>
      </c>
      <c r="T55" s="10">
        <v>69294174.959999993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119</v>
      </c>
      <c r="H56" s="7" t="s">
        <v>5</v>
      </c>
      <c r="I56" s="8" t="s">
        <v>6</v>
      </c>
      <c r="J56" s="44">
        <v>41218942</v>
      </c>
      <c r="K56" s="44">
        <f>700000+133752+1468203+3000000+1425000+1365964+392500+312465+57330+152010+15140000+3104113+2500000</f>
        <v>29751337</v>
      </c>
      <c r="L56" s="44">
        <f>25000000+104804+27152+1100000+1215+435203+172218+65550+8941995</f>
        <v>35848137</v>
      </c>
      <c r="M56" s="44">
        <f t="shared" si="23"/>
        <v>35122142</v>
      </c>
      <c r="N56" s="27">
        <v>0</v>
      </c>
      <c r="O56" s="44">
        <v>33445476</v>
      </c>
      <c r="P56" s="44">
        <f t="shared" si="22"/>
        <v>1676666</v>
      </c>
      <c r="Q56" s="9">
        <v>20730578</v>
      </c>
      <c r="R56" s="25">
        <f t="shared" si="15"/>
        <v>0.59024241744709083</v>
      </c>
      <c r="S56" s="9">
        <v>9242188</v>
      </c>
      <c r="T56" s="10">
        <v>5242398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120</v>
      </c>
      <c r="H57" s="7" t="s">
        <v>5</v>
      </c>
      <c r="I57" s="8" t="s">
        <v>6</v>
      </c>
      <c r="J57" s="44">
        <f>561355666</f>
        <v>561355666</v>
      </c>
      <c r="K57" s="44">
        <f>6122008+1863580+200000000+6759617+200000000+2539390+23208750+39684912+5830000+22910883+1500000+3297380+9408100+34802500+815718+3693886+321568+25000000+3200000+3026014+35000000+33012360+520000+165413214+147992000+3353811+32660960+30952095+6314536+4000000+975177</f>
        <v>1054178459</v>
      </c>
      <c r="L57" s="44">
        <f>8575000+40000000+18060344+1830672+2052970+17134875+430000+1044947+9200000+391500+8370+70520+7641099</f>
        <v>106440297</v>
      </c>
      <c r="M57" s="44">
        <f t="shared" si="23"/>
        <v>1509093828</v>
      </c>
      <c r="N57" s="9">
        <v>0</v>
      </c>
      <c r="O57" s="44">
        <v>1506210979</v>
      </c>
      <c r="P57" s="44">
        <f t="shared" si="22"/>
        <v>2882849</v>
      </c>
      <c r="Q57" s="9">
        <v>1257595192</v>
      </c>
      <c r="R57" s="25">
        <f t="shared" si="15"/>
        <v>0.83334459969708397</v>
      </c>
      <c r="S57" s="9">
        <v>66321990</v>
      </c>
      <c r="T57" s="10">
        <v>66321990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121</v>
      </c>
      <c r="H58" s="7" t="s">
        <v>5</v>
      </c>
      <c r="I58" s="63" t="s">
        <v>6</v>
      </c>
      <c r="J58" s="44">
        <v>6500000</v>
      </c>
      <c r="K58" s="44">
        <f>1500000+17312572+500000+200000</f>
        <v>19512572</v>
      </c>
      <c r="L58" s="44">
        <f>2298200+1900000+2369172</f>
        <v>6567372</v>
      </c>
      <c r="M58" s="44">
        <f>J58+K58-L58</f>
        <v>19445200</v>
      </c>
      <c r="N58" s="9">
        <v>0</v>
      </c>
      <c r="O58" s="44">
        <v>19445200</v>
      </c>
      <c r="P58" s="27">
        <f t="shared" si="22"/>
        <v>0</v>
      </c>
      <c r="Q58" s="9">
        <v>18745200</v>
      </c>
      <c r="R58" s="25">
        <f t="shared" si="15"/>
        <v>0.96400139880278934</v>
      </c>
      <c r="S58" s="9">
        <v>6100000</v>
      </c>
      <c r="T58" s="10">
        <v>6100000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122</v>
      </c>
      <c r="H59" s="7" t="s">
        <v>5</v>
      </c>
      <c r="I59" s="8" t="s">
        <v>6</v>
      </c>
      <c r="J59" s="44">
        <v>160736353</v>
      </c>
      <c r="K59" s="44">
        <f>1197350+402886+1000000+4247025+1905705+234540+5443212+1562652+63459820+1068664+24114+172218</f>
        <v>80718186</v>
      </c>
      <c r="L59" s="44">
        <f>120469050+751297+2956730+63459820+29530950</f>
        <v>217167847</v>
      </c>
      <c r="M59" s="44">
        <f>J59+K59-L59</f>
        <v>24286692</v>
      </c>
      <c r="N59" s="9">
        <v>0</v>
      </c>
      <c r="O59" s="44">
        <v>24210940</v>
      </c>
      <c r="P59" s="27">
        <f>+M59-O59-N59</f>
        <v>75752</v>
      </c>
      <c r="Q59" s="9">
        <v>6006551</v>
      </c>
      <c r="R59" s="25">
        <f t="shared" si="15"/>
        <v>0.24731861383180551</v>
      </c>
      <c r="S59" s="9">
        <v>3439306</v>
      </c>
      <c r="T59" s="10">
        <v>3439306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123</v>
      </c>
      <c r="H60" s="7" t="s">
        <v>5</v>
      </c>
      <c r="I60" s="8" t="s">
        <v>6</v>
      </c>
      <c r="J60" s="44">
        <v>3500000</v>
      </c>
      <c r="K60" s="44">
        <v>500000</v>
      </c>
      <c r="L60" s="44"/>
      <c r="M60" s="44">
        <f t="shared" si="23"/>
        <v>4000000</v>
      </c>
      <c r="N60" s="9">
        <v>0</v>
      </c>
      <c r="O60" s="44">
        <v>4000000</v>
      </c>
      <c r="P60" s="27">
        <f t="shared" si="22"/>
        <v>0</v>
      </c>
      <c r="Q60" s="9">
        <v>3500000</v>
      </c>
      <c r="R60" s="25">
        <f>IF(Q60&gt;1,Q60/(M60-N60),0)</f>
        <v>0.875</v>
      </c>
      <c r="S60" s="9">
        <v>3500000</v>
      </c>
      <c r="T60" s="10">
        <v>3500000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124</v>
      </c>
      <c r="H61" s="7" t="s">
        <v>5</v>
      </c>
      <c r="I61" s="8" t="s">
        <v>6</v>
      </c>
      <c r="J61" s="44">
        <v>64604261</v>
      </c>
      <c r="K61" s="44">
        <f>2300000+73600+6848606+2664780+5000000+3500000+10140355+12000000+5851720+377884+3174913+3840769+710680+2700000+4500000+1942628</f>
        <v>65625935</v>
      </c>
      <c r="L61" s="44">
        <f>15000000+28964740+481471+8000000+2254068+55501+4003160</f>
        <v>58758940</v>
      </c>
      <c r="M61" s="44">
        <f t="shared" si="23"/>
        <v>71471256</v>
      </c>
      <c r="N61" s="9">
        <v>0</v>
      </c>
      <c r="O61" s="44">
        <v>71469590.150000006</v>
      </c>
      <c r="P61" s="27">
        <f t="shared" si="22"/>
        <v>1665.8499999940395</v>
      </c>
      <c r="Q61" s="9">
        <v>48746808.149999999</v>
      </c>
      <c r="R61" s="25">
        <f t="shared" si="15"/>
        <v>0.68204773328735124</v>
      </c>
      <c r="S61" s="9">
        <v>12687951</v>
      </c>
      <c r="T61" s="10">
        <v>12687951</v>
      </c>
    </row>
    <row r="62" spans="1:20" s="6" customFormat="1" ht="16.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112</v>
      </c>
      <c r="H62" s="7" t="s">
        <v>5</v>
      </c>
      <c r="I62" s="8" t="s">
        <v>6</v>
      </c>
      <c r="J62" s="44"/>
      <c r="K62" s="44">
        <f>520981+1000000</f>
        <v>1520981</v>
      </c>
      <c r="L62" s="44">
        <f>240981</f>
        <v>240981</v>
      </c>
      <c r="M62" s="44">
        <f t="shared" si="23"/>
        <v>1280000</v>
      </c>
      <c r="N62" s="9"/>
      <c r="O62" s="44">
        <v>1280000</v>
      </c>
      <c r="P62" s="27">
        <f>+M62-O62-N62</f>
        <v>0</v>
      </c>
      <c r="Q62" s="9">
        <v>280000</v>
      </c>
      <c r="R62" s="25">
        <f t="shared" si="15"/>
        <v>0.21875</v>
      </c>
      <c r="S62" s="9">
        <v>0</v>
      </c>
      <c r="T62" s="10">
        <v>0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113</v>
      </c>
      <c r="H63" s="7" t="s">
        <v>5</v>
      </c>
      <c r="I63" s="8" t="s">
        <v>6</v>
      </c>
      <c r="J63" s="44"/>
      <c r="K63" s="44">
        <f>4691162</f>
        <v>4691162</v>
      </c>
      <c r="L63" s="44">
        <f>2867162</f>
        <v>2867162</v>
      </c>
      <c r="M63" s="44">
        <f>J63+K63-L63</f>
        <v>1824000</v>
      </c>
      <c r="N63" s="9"/>
      <c r="O63" s="44">
        <v>1824000</v>
      </c>
      <c r="P63" s="27">
        <f t="shared" si="22"/>
        <v>0</v>
      </c>
      <c r="Q63" s="9">
        <v>1824000</v>
      </c>
      <c r="R63" s="25">
        <f t="shared" si="15"/>
        <v>1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125</v>
      </c>
      <c r="H64" s="7" t="s">
        <v>5</v>
      </c>
      <c r="I64" s="8" t="s">
        <v>6</v>
      </c>
      <c r="J64" s="44">
        <v>5907296</v>
      </c>
      <c r="K64" s="44">
        <f>5550900+9950318+3859602+906047</f>
        <v>20266867</v>
      </c>
      <c r="L64" s="44">
        <f>2369565+262332+1846774+148750+1488+40602</f>
        <v>4669511</v>
      </c>
      <c r="M64" s="44">
        <f>J64+K64-L64</f>
        <v>21504652</v>
      </c>
      <c r="N64" s="9">
        <v>0</v>
      </c>
      <c r="O64" s="44">
        <v>21504652</v>
      </c>
      <c r="P64" s="109">
        <f t="shared" si="22"/>
        <v>0</v>
      </c>
      <c r="Q64" s="9">
        <v>20224777</v>
      </c>
      <c r="R64" s="25">
        <f t="shared" si="15"/>
        <v>0.94048380787561692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126</v>
      </c>
      <c r="H65" s="7" t="s">
        <v>5</v>
      </c>
      <c r="I65" s="8" t="s">
        <v>6</v>
      </c>
      <c r="J65" s="44">
        <v>19400000</v>
      </c>
      <c r="K65" s="44">
        <f>49211319+30000000+8500000+7663056</f>
        <v>95374375</v>
      </c>
      <c r="L65" s="44">
        <f>18807332+5000000+4400000+15633487+6091900</f>
        <v>49932719</v>
      </c>
      <c r="M65" s="44">
        <f t="shared" si="23"/>
        <v>64841656</v>
      </c>
      <c r="N65" s="9">
        <v>0</v>
      </c>
      <c r="O65" s="44">
        <v>56340271</v>
      </c>
      <c r="P65" s="27">
        <f t="shared" si="22"/>
        <v>8501385</v>
      </c>
      <c r="Q65" s="9">
        <v>56340271</v>
      </c>
      <c r="R65" s="25">
        <f t="shared" si="15"/>
        <v>0.86889006967989835</v>
      </c>
      <c r="S65" s="9">
        <v>10000000</v>
      </c>
      <c r="T65" s="10">
        <v>10000000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44</v>
      </c>
      <c r="G66" s="23" t="s">
        <v>127</v>
      </c>
      <c r="H66" s="7" t="s">
        <v>5</v>
      </c>
      <c r="I66" s="8" t="s">
        <v>6</v>
      </c>
      <c r="J66" s="44">
        <v>1920000</v>
      </c>
      <c r="K66" s="44">
        <f>505750+209896127</f>
        <v>210401877</v>
      </c>
      <c r="L66" s="44">
        <f>1920000</f>
        <v>1920000</v>
      </c>
      <c r="M66" s="44">
        <f t="shared" si="23"/>
        <v>210401877</v>
      </c>
      <c r="N66" s="9">
        <v>0</v>
      </c>
      <c r="O66" s="44">
        <v>190089720</v>
      </c>
      <c r="P66" s="27">
        <f t="shared" si="22"/>
        <v>20312157</v>
      </c>
      <c r="Q66" s="9">
        <v>0</v>
      </c>
      <c r="R66" s="25">
        <f t="shared" si="15"/>
        <v>0</v>
      </c>
      <c r="S66" s="9">
        <v>0</v>
      </c>
      <c r="T66" s="10">
        <v>0</v>
      </c>
    </row>
    <row r="67" spans="1:20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128</v>
      </c>
      <c r="H67" s="7" t="s">
        <v>5</v>
      </c>
      <c r="I67" s="8" t="s">
        <v>6</v>
      </c>
      <c r="J67" s="44">
        <v>10633300</v>
      </c>
      <c r="K67" s="44">
        <f>21000+699931+665000+672011+69091+7100000+5000000+335800+2289135</f>
        <v>16851968</v>
      </c>
      <c r="L67" s="44">
        <f>2575440+423+9931+8568+4972280</f>
        <v>7566642</v>
      </c>
      <c r="M67" s="44">
        <f t="shared" si="23"/>
        <v>19918626</v>
      </c>
      <c r="N67" s="9">
        <v>0</v>
      </c>
      <c r="O67" s="44">
        <v>19615246.199999999</v>
      </c>
      <c r="P67" s="27">
        <f t="shared" si="22"/>
        <v>303379.80000000075</v>
      </c>
      <c r="Q67" s="9">
        <v>19221586.199999999</v>
      </c>
      <c r="R67" s="25">
        <f t="shared" si="15"/>
        <v>0.96500562840027215</v>
      </c>
      <c r="S67" s="9">
        <v>6445031.2000000002</v>
      </c>
      <c r="T67" s="10">
        <v>1453600</v>
      </c>
    </row>
    <row r="68" spans="1:20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129</v>
      </c>
      <c r="H68" s="7" t="s">
        <v>5</v>
      </c>
      <c r="I68" s="8" t="s">
        <v>6</v>
      </c>
      <c r="J68" s="44">
        <v>7000000</v>
      </c>
      <c r="K68" s="44">
        <f>9264292.64+10584974+17915026</f>
        <v>37764292.640000001</v>
      </c>
      <c r="L68" s="44">
        <f>3000000+4000000+28500000</f>
        <v>35500000</v>
      </c>
      <c r="M68" s="44">
        <f t="shared" si="23"/>
        <v>9264292.6400000006</v>
      </c>
      <c r="N68" s="9">
        <v>0</v>
      </c>
      <c r="O68" s="44">
        <v>9264292.6400000006</v>
      </c>
      <c r="P68" s="27">
        <f t="shared" si="22"/>
        <v>0</v>
      </c>
      <c r="Q68" s="9">
        <v>9264292.6400000006</v>
      </c>
      <c r="R68" s="25">
        <f t="shared" si="15"/>
        <v>1</v>
      </c>
      <c r="S68" s="9">
        <v>8722451.9499999993</v>
      </c>
      <c r="T68" s="10">
        <v>8722451.9499999993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130</v>
      </c>
      <c r="H69" s="7" t="s">
        <v>5</v>
      </c>
      <c r="I69" s="8" t="s">
        <v>6</v>
      </c>
      <c r="J69" s="44">
        <v>1098853351</v>
      </c>
      <c r="K69" s="44">
        <f>5000000+5000000+9000000+1000000+1000000+2946448+10500000+7000000+2000000+1000000+2000000</f>
        <v>46446448</v>
      </c>
      <c r="L69" s="44">
        <f>25000000+7000000+70451449+42496130+1200000</f>
        <v>146147579</v>
      </c>
      <c r="M69" s="44">
        <f t="shared" si="23"/>
        <v>999152220</v>
      </c>
      <c r="N69" s="9">
        <v>0</v>
      </c>
      <c r="O69" s="44">
        <v>996152220</v>
      </c>
      <c r="P69" s="27">
        <f t="shared" si="22"/>
        <v>3000000</v>
      </c>
      <c r="Q69" s="9">
        <v>938049727</v>
      </c>
      <c r="R69" s="25">
        <f t="shared" si="15"/>
        <v>0.93884566157497007</v>
      </c>
      <c r="S69" s="9">
        <v>607783999</v>
      </c>
      <c r="T69" s="10">
        <v>607783999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131</v>
      </c>
      <c r="H70" s="7" t="s">
        <v>5</v>
      </c>
      <c r="I70" s="8" t="s">
        <v>6</v>
      </c>
      <c r="J70" s="44">
        <v>221300000</v>
      </c>
      <c r="K70" s="44">
        <f>20000000</f>
        <v>20000000</v>
      </c>
      <c r="L70" s="44"/>
      <c r="M70" s="44">
        <f t="shared" si="23"/>
        <v>241300000</v>
      </c>
      <c r="N70" s="9">
        <v>0</v>
      </c>
      <c r="O70" s="44">
        <v>221300000</v>
      </c>
      <c r="P70" s="27">
        <f t="shared" si="22"/>
        <v>20000000</v>
      </c>
      <c r="Q70" s="9">
        <v>221300000</v>
      </c>
      <c r="R70" s="25">
        <f t="shared" si="15"/>
        <v>0.9171156237049316</v>
      </c>
      <c r="S70" s="9">
        <v>86768448</v>
      </c>
      <c r="T70" s="10">
        <v>86768448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5" t="s">
        <v>43</v>
      </c>
      <c r="G71" s="23" t="s">
        <v>241</v>
      </c>
      <c r="H71" s="7" t="s">
        <v>5</v>
      </c>
      <c r="I71" s="8" t="s">
        <v>6</v>
      </c>
      <c r="J71" s="44">
        <v>0</v>
      </c>
      <c r="K71" s="44"/>
      <c r="L71" s="44"/>
      <c r="M71" s="44">
        <v>0</v>
      </c>
      <c r="N71" s="9">
        <v>0</v>
      </c>
      <c r="O71" s="44">
        <v>0</v>
      </c>
      <c r="P71" s="27">
        <f t="shared" ref="P71" si="26">+M71-O71-N71</f>
        <v>0</v>
      </c>
      <c r="Q71" s="9">
        <v>0</v>
      </c>
      <c r="R71" s="25">
        <f t="shared" ref="R71" si="27">IF(Q71&gt;1,Q71/(M71-N71),0)</f>
        <v>0</v>
      </c>
      <c r="S71" s="9">
        <v>0</v>
      </c>
      <c r="T71" s="10">
        <v>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45</v>
      </c>
      <c r="G72" s="23" t="s">
        <v>132</v>
      </c>
      <c r="H72" s="7" t="s">
        <v>5</v>
      </c>
      <c r="I72" s="8" t="s">
        <v>6</v>
      </c>
      <c r="J72" s="44">
        <v>203606672</v>
      </c>
      <c r="K72" s="44"/>
      <c r="L72" s="44"/>
      <c r="M72" s="44">
        <f t="shared" si="23"/>
        <v>203606672</v>
      </c>
      <c r="N72" s="9">
        <v>0</v>
      </c>
      <c r="O72" s="44">
        <v>202620000</v>
      </c>
      <c r="P72" s="27">
        <f t="shared" si="22"/>
        <v>986672</v>
      </c>
      <c r="Q72" s="9">
        <v>202620000</v>
      </c>
      <c r="R72" s="25">
        <f t="shared" si="15"/>
        <v>0.99515402913711981</v>
      </c>
      <c r="S72" s="9">
        <v>60421255</v>
      </c>
      <c r="T72" s="10">
        <v>60421255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133</v>
      </c>
      <c r="H73" s="7" t="s">
        <v>5</v>
      </c>
      <c r="I73" s="8" t="s">
        <v>6</v>
      </c>
      <c r="J73" s="44">
        <v>4586946857</v>
      </c>
      <c r="K73" s="44">
        <f>65000000+11504545+73000000+5837417+180000000+260000000+30000000+16877661+40000000+25034364+60832261+4000000+23290720</f>
        <v>795376968</v>
      </c>
      <c r="L73" s="44">
        <f>10875072+34275216.2+9264292.64+95440714+16609104+229975000+165741200+30697627+30000000+106382815+10000000+29650694+5397473+147992000+49667342+88567143.16+10000000+1996050+20400000</f>
        <v>1092931743</v>
      </c>
      <c r="M73" s="44">
        <f t="shared" si="23"/>
        <v>4289392082</v>
      </c>
      <c r="N73" s="9">
        <v>0</v>
      </c>
      <c r="O73" s="44">
        <v>4102844825.1799998</v>
      </c>
      <c r="P73" s="27">
        <f t="shared" si="22"/>
        <v>186547256.82000017</v>
      </c>
      <c r="Q73" s="9">
        <v>3393577130.6100001</v>
      </c>
      <c r="R73" s="25">
        <f t="shared" si="15"/>
        <v>0.79115573156643881</v>
      </c>
      <c r="S73" s="9">
        <v>3346407823.6100001</v>
      </c>
      <c r="T73" s="10">
        <v>3346407823.6100001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133</v>
      </c>
      <c r="H74" s="7" t="s">
        <v>8</v>
      </c>
      <c r="I74" s="8" t="s">
        <v>9</v>
      </c>
      <c r="J74" s="44">
        <v>786000000</v>
      </c>
      <c r="K74" s="44"/>
      <c r="L74" s="44"/>
      <c r="M74" s="44">
        <f t="shared" si="23"/>
        <v>786000000</v>
      </c>
      <c r="N74" s="9">
        <v>0</v>
      </c>
      <c r="O74" s="44">
        <v>605022219.33000004</v>
      </c>
      <c r="P74" s="27">
        <f t="shared" si="22"/>
        <v>180977780.66999996</v>
      </c>
      <c r="Q74" s="9">
        <v>605022219.33000004</v>
      </c>
      <c r="R74" s="25">
        <f t="shared" si="15"/>
        <v>0.76974837064885504</v>
      </c>
      <c r="S74" s="9">
        <v>561013624</v>
      </c>
      <c r="T74" s="10">
        <v>561013624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133</v>
      </c>
      <c r="H75" s="7" t="s">
        <v>8</v>
      </c>
      <c r="I75" s="8">
        <v>21</v>
      </c>
      <c r="J75" s="44">
        <v>391600000</v>
      </c>
      <c r="K75" s="44"/>
      <c r="L75" s="44"/>
      <c r="M75" s="44">
        <f t="shared" si="23"/>
        <v>391600000</v>
      </c>
      <c r="N75" s="9">
        <v>0</v>
      </c>
      <c r="O75" s="44">
        <v>391600000</v>
      </c>
      <c r="P75" s="27">
        <f t="shared" si="22"/>
        <v>0</v>
      </c>
      <c r="Q75" s="9">
        <v>391600000</v>
      </c>
      <c r="R75" s="25">
        <f t="shared" si="15"/>
        <v>1</v>
      </c>
      <c r="S75" s="9">
        <v>391600000</v>
      </c>
      <c r="T75" s="10">
        <v>391600000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7" t="s">
        <v>35</v>
      </c>
      <c r="G76" s="23" t="s">
        <v>134</v>
      </c>
      <c r="H76" s="7" t="s">
        <v>5</v>
      </c>
      <c r="I76" s="8" t="s">
        <v>6</v>
      </c>
      <c r="J76" s="44">
        <v>5015000000</v>
      </c>
      <c r="K76" s="44">
        <f>14100000+418654+106042+400000</f>
        <v>15024696</v>
      </c>
      <c r="L76" s="44">
        <f>2000000+1183200+66643986+395800+1400000+503100+400000+2052300</f>
        <v>74578386</v>
      </c>
      <c r="M76" s="44">
        <f t="shared" si="23"/>
        <v>4955446310</v>
      </c>
      <c r="N76" s="9">
        <v>0</v>
      </c>
      <c r="O76" s="44">
        <v>4944269414</v>
      </c>
      <c r="P76" s="27">
        <f t="shared" si="22"/>
        <v>11176896</v>
      </c>
      <c r="Q76" s="9">
        <v>4933869414</v>
      </c>
      <c r="R76" s="25">
        <f t="shared" si="15"/>
        <v>0.99564582185938366</v>
      </c>
      <c r="S76" s="9">
        <v>4884501574</v>
      </c>
      <c r="T76" s="10">
        <v>4884501574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65" t="s">
        <v>37</v>
      </c>
      <c r="G77" s="23" t="s">
        <v>135</v>
      </c>
      <c r="H77" s="7" t="s">
        <v>5</v>
      </c>
      <c r="I77" s="8" t="s">
        <v>6</v>
      </c>
      <c r="J77" s="44">
        <v>2172141060</v>
      </c>
      <c r="K77" s="44">
        <f>33384600</f>
        <v>33384600</v>
      </c>
      <c r="L77" s="44">
        <f>4299972+26221172+2277431+504000</f>
        <v>33302575</v>
      </c>
      <c r="M77" s="44">
        <f t="shared" si="23"/>
        <v>2172223085</v>
      </c>
      <c r="N77" s="9">
        <v>0</v>
      </c>
      <c r="O77" s="44">
        <v>2172223085</v>
      </c>
      <c r="P77" s="27">
        <f t="shared" si="22"/>
        <v>0</v>
      </c>
      <c r="Q77" s="9">
        <v>2138838485</v>
      </c>
      <c r="R77" s="25">
        <f t="shared" si="15"/>
        <v>0.98463113653909073</v>
      </c>
      <c r="S77" s="9">
        <v>1643174367</v>
      </c>
      <c r="T77" s="10">
        <v>1634427118</v>
      </c>
    </row>
    <row r="78" spans="1:20" s="6" customFormat="1" ht="16.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65" t="s">
        <v>44</v>
      </c>
      <c r="F78" s="65" t="s">
        <v>39</v>
      </c>
      <c r="G78" s="108" t="s">
        <v>156</v>
      </c>
      <c r="H78" s="7" t="s">
        <v>5</v>
      </c>
      <c r="I78" s="8" t="s">
        <v>6</v>
      </c>
      <c r="J78" s="44">
        <v>90000000</v>
      </c>
      <c r="K78" s="44"/>
      <c r="L78" s="44">
        <v>90000000</v>
      </c>
      <c r="M78" s="44">
        <f t="shared" si="23"/>
        <v>0</v>
      </c>
      <c r="N78" s="9">
        <v>0</v>
      </c>
      <c r="O78" s="44">
        <v>0</v>
      </c>
      <c r="P78" s="27">
        <f t="shared" si="22"/>
        <v>0</v>
      </c>
      <c r="Q78" s="9">
        <v>0</v>
      </c>
      <c r="R78" s="25">
        <f t="shared" si="15"/>
        <v>0</v>
      </c>
      <c r="S78" s="9">
        <v>0</v>
      </c>
      <c r="T78" s="10">
        <v>0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8" t="s">
        <v>136</v>
      </c>
      <c r="H79" s="7" t="s">
        <v>5</v>
      </c>
      <c r="I79" s="8" t="s">
        <v>6</v>
      </c>
      <c r="J79" s="44">
        <v>40070000</v>
      </c>
      <c r="K79" s="44">
        <f>229900+54600000+5000000+400000</f>
        <v>60229900</v>
      </c>
      <c r="L79" s="44">
        <f>30000000+2053700+2000000+70000</f>
        <v>34123700</v>
      </c>
      <c r="M79" s="44">
        <f t="shared" si="23"/>
        <v>66176200</v>
      </c>
      <c r="N79" s="9"/>
      <c r="O79" s="44">
        <v>60859800</v>
      </c>
      <c r="P79" s="27">
        <f t="shared" si="22"/>
        <v>5316400</v>
      </c>
      <c r="Q79" s="9">
        <v>50859800</v>
      </c>
      <c r="R79" s="25"/>
      <c r="S79" s="9">
        <v>28276200</v>
      </c>
      <c r="T79" s="10">
        <v>28276200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149</v>
      </c>
      <c r="H80" s="7" t="s">
        <v>5</v>
      </c>
      <c r="I80" s="8" t="s">
        <v>6</v>
      </c>
      <c r="J80" s="44">
        <v>4249370800</v>
      </c>
      <c r="K80" s="44">
        <f>19275523.65+151800+5397473+437100+5000000+8582875</f>
        <v>38844771.649999999</v>
      </c>
      <c r="L80" s="44">
        <f>4258800+229900+70074948+54600000+45401356+93043212+192000000+32817251+3000000</f>
        <v>495425467</v>
      </c>
      <c r="M80" s="44">
        <f>J80+K80-L80</f>
        <v>3792790104.6500001</v>
      </c>
      <c r="N80" s="9">
        <v>3284400000</v>
      </c>
      <c r="O80" s="44">
        <v>454864304.64999998</v>
      </c>
      <c r="P80" s="27">
        <f t="shared" si="22"/>
        <v>53525800</v>
      </c>
      <c r="Q80" s="9">
        <v>446281429.64999998</v>
      </c>
      <c r="R80" s="25">
        <f t="shared" ref="R80:R91" si="28">IF(Q80&gt;1,Q80/(M80-N80),0)</f>
        <v>0.87783264380655346</v>
      </c>
      <c r="S80" s="9">
        <v>336012329.64999998</v>
      </c>
      <c r="T80" s="10">
        <v>336012329.64999998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137</v>
      </c>
      <c r="H81" s="7" t="s">
        <v>5</v>
      </c>
      <c r="I81" s="8" t="s">
        <v>6</v>
      </c>
      <c r="J81" s="44">
        <v>771516577</v>
      </c>
      <c r="K81" s="44"/>
      <c r="L81" s="44">
        <f>16877661+106041583+19000000+4583500+6000000+165413214+115020903.33+10537082</f>
        <v>443473943.32999998</v>
      </c>
      <c r="M81" s="44">
        <f t="shared" si="23"/>
        <v>328042633.67000002</v>
      </c>
      <c r="N81" s="9">
        <v>0</v>
      </c>
      <c r="O81" s="44">
        <v>321246501.23000002</v>
      </c>
      <c r="P81" s="27">
        <f t="shared" si="22"/>
        <v>6796132.4399999976</v>
      </c>
      <c r="Q81" s="9">
        <v>220249808.72999999</v>
      </c>
      <c r="R81" s="25">
        <f t="shared" si="28"/>
        <v>0.67140604946966731</v>
      </c>
      <c r="S81" s="9">
        <v>220249808.72999999</v>
      </c>
      <c r="T81" s="10">
        <v>220249808.72999999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138</v>
      </c>
      <c r="H82" s="7" t="s">
        <v>5</v>
      </c>
      <c r="I82" s="8" t="s">
        <v>6</v>
      </c>
      <c r="J82" s="44">
        <v>15465032889</v>
      </c>
      <c r="K82" s="44">
        <f>29650694+35000000</f>
        <v>64650694</v>
      </c>
      <c r="L82" s="44">
        <f>78737919.66+40890758+116385232+43200000+92578039+52636119+5000000+36023304+866342+29194257+24905710+70347400+22910883+35431530+100000000+18434631+7000000+30445666.15+8153000+40285229</f>
        <v>853426019.80999994</v>
      </c>
      <c r="M82" s="44">
        <f>J82+K82-L82</f>
        <v>14676257563.190001</v>
      </c>
      <c r="N82" s="9">
        <v>0</v>
      </c>
      <c r="O82" s="44">
        <v>14599089791.84</v>
      </c>
      <c r="P82" s="27">
        <f t="shared" si="22"/>
        <v>77167771.350000381</v>
      </c>
      <c r="Q82" s="9">
        <v>14599089791.84</v>
      </c>
      <c r="R82" s="25">
        <f t="shared" si="28"/>
        <v>0.99474199938112651</v>
      </c>
      <c r="S82" s="9">
        <v>10897696726.719999</v>
      </c>
      <c r="T82" s="10">
        <v>10897696726.719999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139</v>
      </c>
      <c r="H83" s="7" t="s">
        <v>5</v>
      </c>
      <c r="I83" s="63" t="s">
        <v>6</v>
      </c>
      <c r="J83" s="44">
        <v>372795117</v>
      </c>
      <c r="K83" s="44">
        <f>14999692.55+9769956+95440714+1573883+36385232+15875000+14625077+45401356+20073389+30000000+52193000+20000000+7050000+1967725+105000000+10000000+5674768+28500000+8582875+6523941+1500000+100000000+222644</f>
        <v>631359252.54999995</v>
      </c>
      <c r="L83" s="44">
        <f>2702156+4200750+3500000+15000000+23758500+5000000+2653929+4654217+3201148+10641300+437100+248921600+8582875+1163006+11633418+20000000+2000000+2763037+336605</f>
        <v>371149641</v>
      </c>
      <c r="M83" s="44">
        <f>J83+K83-L83</f>
        <v>633004728.54999995</v>
      </c>
      <c r="N83" s="9">
        <v>0</v>
      </c>
      <c r="O83" s="44">
        <v>593410020.16999996</v>
      </c>
      <c r="P83" s="27">
        <f t="shared" si="22"/>
        <v>39594708.379999995</v>
      </c>
      <c r="Q83" s="9">
        <v>378783866.17000002</v>
      </c>
      <c r="R83" s="25">
        <f t="shared" si="28"/>
        <v>0.59839026327286038</v>
      </c>
      <c r="S83" s="9">
        <v>143030196.55000001</v>
      </c>
      <c r="T83" s="10">
        <v>143030196.55000001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140</v>
      </c>
      <c r="H84" s="7" t="s">
        <v>5</v>
      </c>
      <c r="I84" s="8" t="s">
        <v>6</v>
      </c>
      <c r="J84" s="44">
        <v>589530283</v>
      </c>
      <c r="K84" s="44">
        <f>12641984+3424800+8575000+17689712</f>
        <v>42331496</v>
      </c>
      <c r="L84" s="44">
        <f>12641984+6629450+11022364+7948000+12050+598+4918189+9681850+2075811</f>
        <v>54930296</v>
      </c>
      <c r="M84" s="44">
        <f>J84+K84-L84</f>
        <v>576931483</v>
      </c>
      <c r="N84" s="9">
        <v>0</v>
      </c>
      <c r="O84" s="44">
        <v>576923354</v>
      </c>
      <c r="P84" s="27">
        <f t="shared" si="22"/>
        <v>8129</v>
      </c>
      <c r="Q84" s="9">
        <v>528348354</v>
      </c>
      <c r="R84" s="25">
        <f t="shared" si="28"/>
        <v>0.91579047004442982</v>
      </c>
      <c r="S84" s="9">
        <v>24903000</v>
      </c>
      <c r="T84" s="10">
        <v>24903000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141</v>
      </c>
      <c r="H85" s="7" t="s">
        <v>5</v>
      </c>
      <c r="I85" s="8" t="s">
        <v>6</v>
      </c>
      <c r="J85" s="44">
        <v>641562697</v>
      </c>
      <c r="K85" s="44">
        <f>15500000+6400000+11466906+8400000+21000000+20000000+1800000+2000000</f>
        <v>86566906</v>
      </c>
      <c r="L85" s="44">
        <f>7429347+520000+3900000+472308+1401380+2000000</f>
        <v>15723035</v>
      </c>
      <c r="M85" s="44">
        <f t="shared" si="23"/>
        <v>712406568</v>
      </c>
      <c r="N85" s="9">
        <v>0</v>
      </c>
      <c r="O85" s="44">
        <v>698187116.26999998</v>
      </c>
      <c r="P85" s="27">
        <f t="shared" si="22"/>
        <v>14219451.730000019</v>
      </c>
      <c r="Q85" s="9">
        <v>590223276.26999998</v>
      </c>
      <c r="R85" s="25">
        <f t="shared" si="28"/>
        <v>0.82849218800296065</v>
      </c>
      <c r="S85" s="9">
        <v>428560917.92000002</v>
      </c>
      <c r="T85" s="10">
        <v>428560917.92000002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150</v>
      </c>
      <c r="H86" s="7" t="s">
        <v>5</v>
      </c>
      <c r="I86" s="8" t="s">
        <v>6</v>
      </c>
      <c r="J86" s="44">
        <v>697500000</v>
      </c>
      <c r="K86" s="44">
        <f>15000000+100+2100000+4100000</f>
        <v>21200100</v>
      </c>
      <c r="L86" s="44">
        <f>1216026+17757+7160000+120100+2420+49800</f>
        <v>8566103</v>
      </c>
      <c r="M86" s="44">
        <f>J86+K86-L86</f>
        <v>710133997</v>
      </c>
      <c r="N86" s="9">
        <v>0</v>
      </c>
      <c r="O86" s="44">
        <v>707499749</v>
      </c>
      <c r="P86" s="27">
        <f t="shared" si="22"/>
        <v>2634248</v>
      </c>
      <c r="Q86" s="9">
        <v>658466523</v>
      </c>
      <c r="R86" s="25">
        <f t="shared" si="28"/>
        <v>0.9272426412222593</v>
      </c>
      <c r="S86" s="9">
        <v>123471065.91</v>
      </c>
      <c r="T86" s="10">
        <v>123471065.91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47</v>
      </c>
      <c r="F87" s="7"/>
      <c r="G87" s="23" t="s">
        <v>73</v>
      </c>
      <c r="H87" s="7" t="s">
        <v>5</v>
      </c>
      <c r="I87" s="8" t="s">
        <v>6</v>
      </c>
      <c r="J87" s="44">
        <v>1772694389</v>
      </c>
      <c r="K87" s="44">
        <f>2000000+7000000+10000000+45000000+25000000+26000000+33255144+42496130+5100000+3000000+7612000+10850976+5395570+17505066</f>
        <v>240214886</v>
      </c>
      <c r="L87" s="44">
        <f>252167738.18+24731131+3000000+21000000+63832261</f>
        <v>364731130.18000001</v>
      </c>
      <c r="M87" s="44">
        <f t="shared" si="23"/>
        <v>1648178144.8199999</v>
      </c>
      <c r="N87" s="9">
        <v>0</v>
      </c>
      <c r="O87" s="44">
        <v>1642782574</v>
      </c>
      <c r="P87" s="27">
        <f t="shared" si="22"/>
        <v>5395570.8199999332</v>
      </c>
      <c r="Q87" s="9">
        <v>1456624043</v>
      </c>
      <c r="R87" s="25">
        <f t="shared" si="28"/>
        <v>0.88377827820249377</v>
      </c>
      <c r="S87" s="9">
        <v>1426899357</v>
      </c>
      <c r="T87" s="10">
        <v>1426899357</v>
      </c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5</v>
      </c>
      <c r="I88" s="81" t="s">
        <v>6</v>
      </c>
      <c r="J88" s="64">
        <f t="shared" ref="J88:Q88" si="29">J44+J36</f>
        <v>41726600000</v>
      </c>
      <c r="K88" s="64">
        <f t="shared" si="29"/>
        <v>5525581003.6700001</v>
      </c>
      <c r="L88" s="64">
        <f t="shared" si="29"/>
        <v>5525581003.6700001</v>
      </c>
      <c r="M88" s="64">
        <f t="shared" si="29"/>
        <v>41726600000</v>
      </c>
      <c r="N88" s="64">
        <f t="shared" si="29"/>
        <v>3351200000</v>
      </c>
      <c r="O88" s="64">
        <f t="shared" si="29"/>
        <v>37679114252.439995</v>
      </c>
      <c r="P88" s="64">
        <f t="shared" si="29"/>
        <v>696285747.56000042</v>
      </c>
      <c r="Q88" s="64">
        <f t="shared" si="29"/>
        <v>33940036897.369999</v>
      </c>
      <c r="R88" s="76">
        <f t="shared" si="28"/>
        <v>0.88442171019376992</v>
      </c>
      <c r="S88" s="64">
        <f>S44+S36</f>
        <v>25049662990.979996</v>
      </c>
      <c r="T88" s="73">
        <f>T44+T36</f>
        <v>25028581247.319996</v>
      </c>
      <c r="U88" s="32">
        <f>+K88-L88</f>
        <v>0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20</v>
      </c>
      <c r="J89" s="64">
        <f t="shared" ref="J89:Q90" si="30">J45</f>
        <v>786000000</v>
      </c>
      <c r="K89" s="64">
        <f t="shared" si="30"/>
        <v>0</v>
      </c>
      <c r="L89" s="64">
        <f t="shared" si="30"/>
        <v>0</v>
      </c>
      <c r="M89" s="64">
        <f t="shared" si="30"/>
        <v>786000000</v>
      </c>
      <c r="N89" s="64">
        <f t="shared" si="30"/>
        <v>0</v>
      </c>
      <c r="O89" s="64">
        <f t="shared" si="30"/>
        <v>605022219.33000004</v>
      </c>
      <c r="P89" s="64">
        <f t="shared" si="30"/>
        <v>180977780.66999996</v>
      </c>
      <c r="Q89" s="64">
        <f t="shared" si="30"/>
        <v>605022219.33000004</v>
      </c>
      <c r="R89" s="76">
        <f t="shared" si="28"/>
        <v>0.76974837064885504</v>
      </c>
      <c r="S89" s="64">
        <f>S45</f>
        <v>561013624</v>
      </c>
      <c r="T89" s="73">
        <f>T45</f>
        <v>561013624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21</v>
      </c>
      <c r="J90" s="64">
        <f t="shared" si="30"/>
        <v>391600000</v>
      </c>
      <c r="K90" s="64">
        <f t="shared" si="30"/>
        <v>0</v>
      </c>
      <c r="L90" s="64">
        <f t="shared" si="30"/>
        <v>0</v>
      </c>
      <c r="M90" s="64">
        <f t="shared" si="30"/>
        <v>391600000</v>
      </c>
      <c r="N90" s="64">
        <f t="shared" si="30"/>
        <v>0</v>
      </c>
      <c r="O90" s="64">
        <f t="shared" si="30"/>
        <v>391600000</v>
      </c>
      <c r="P90" s="64">
        <f t="shared" si="30"/>
        <v>0</v>
      </c>
      <c r="Q90" s="64">
        <f t="shared" si="30"/>
        <v>391600000</v>
      </c>
      <c r="R90" s="76">
        <f t="shared" si="28"/>
        <v>1</v>
      </c>
      <c r="S90" s="64">
        <f>S46</f>
        <v>391600000</v>
      </c>
      <c r="T90" s="73">
        <f>T46</f>
        <v>391600000</v>
      </c>
      <c r="U90" s="32"/>
    </row>
    <row r="91" spans="1:259" ht="15.75" customHeight="1" thickBot="1" x14ac:dyDescent="0.3">
      <c r="A91" s="128" t="s">
        <v>81</v>
      </c>
      <c r="B91" s="129"/>
      <c r="C91" s="129"/>
      <c r="D91" s="129"/>
      <c r="E91" s="129"/>
      <c r="F91" s="129"/>
      <c r="G91" s="129"/>
      <c r="H91" s="129"/>
      <c r="I91" s="130"/>
      <c r="J91" s="77">
        <f t="shared" ref="J91:Q91" si="31">SUM(J88:J90)</f>
        <v>42904200000</v>
      </c>
      <c r="K91" s="77">
        <f t="shared" si="31"/>
        <v>5525581003.6700001</v>
      </c>
      <c r="L91" s="77">
        <f t="shared" si="31"/>
        <v>5525581003.6700001</v>
      </c>
      <c r="M91" s="77">
        <f t="shared" si="31"/>
        <v>42904200000</v>
      </c>
      <c r="N91" s="77">
        <f t="shared" si="31"/>
        <v>3351200000</v>
      </c>
      <c r="O91" s="77">
        <f t="shared" si="31"/>
        <v>38675736471.769997</v>
      </c>
      <c r="P91" s="77">
        <f t="shared" si="31"/>
        <v>877263528.23000038</v>
      </c>
      <c r="Q91" s="77">
        <f t="shared" si="31"/>
        <v>34936659116.699997</v>
      </c>
      <c r="R91" s="76">
        <f t="shared" si="28"/>
        <v>0.88328721251738163</v>
      </c>
      <c r="S91" s="77">
        <f>SUM(S88:S90)</f>
        <v>26002276614.979996</v>
      </c>
      <c r="T91" s="78">
        <f>SUM(T88:T90)</f>
        <v>25981194871.319996</v>
      </c>
    </row>
    <row r="92" spans="1:259" ht="15.75" customHeight="1" thickBot="1" x14ac:dyDescent="0.3">
      <c r="A92" s="122" t="s">
        <v>87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4"/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/>
      <c r="E93" s="11"/>
      <c r="F93" s="11"/>
      <c r="G93" s="12" t="s">
        <v>108</v>
      </c>
      <c r="H93" s="11" t="s">
        <v>5</v>
      </c>
      <c r="I93" s="13">
        <v>10</v>
      </c>
      <c r="J93" s="14">
        <f>J94</f>
        <v>14221800000</v>
      </c>
      <c r="K93" s="14">
        <f t="shared" ref="K93:L93" si="32">K94</f>
        <v>0</v>
      </c>
      <c r="L93" s="24">
        <f t="shared" si="32"/>
        <v>0</v>
      </c>
      <c r="M93" s="24">
        <f>M94</f>
        <v>14221800000</v>
      </c>
      <c r="N93" s="14">
        <f>N94</f>
        <v>12721800000</v>
      </c>
      <c r="O93" s="14">
        <f>O94</f>
        <v>1239197537</v>
      </c>
      <c r="P93" s="24">
        <f>P94</f>
        <v>260802463</v>
      </c>
      <c r="Q93" s="14">
        <f t="shared" ref="Q93" si="33">Q94</f>
        <v>1239197537</v>
      </c>
      <c r="R93" s="50">
        <f t="shared" ref="R93:R105" si="34">IF(Q93&gt;1,Q93/(M93-N93),0)</f>
        <v>0.82613169133333331</v>
      </c>
      <c r="S93" s="14">
        <f>S94</f>
        <v>4089333</v>
      </c>
      <c r="T93" s="22">
        <f>T94</f>
        <v>4089333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 t="s">
        <v>34</v>
      </c>
      <c r="E94" s="11"/>
      <c r="F94" s="11"/>
      <c r="G94" s="12" t="s">
        <v>89</v>
      </c>
      <c r="H94" s="11" t="s">
        <v>5</v>
      </c>
      <c r="I94" s="13">
        <v>10</v>
      </c>
      <c r="J94" s="14">
        <f>J96+J95</f>
        <v>14221800000</v>
      </c>
      <c r="K94" s="14">
        <f t="shared" ref="K94:L94" si="35">K96+K95</f>
        <v>0</v>
      </c>
      <c r="L94" s="24">
        <f t="shared" si="35"/>
        <v>0</v>
      </c>
      <c r="M94" s="24">
        <f>M96+M95</f>
        <v>14221800000</v>
      </c>
      <c r="N94" s="14">
        <f>N96+N95</f>
        <v>12721800000</v>
      </c>
      <c r="O94" s="14">
        <f>O96+O95</f>
        <v>1239197537</v>
      </c>
      <c r="P94" s="24">
        <f>P96+P95</f>
        <v>260802463</v>
      </c>
      <c r="Q94" s="14">
        <f>Q96+Q95</f>
        <v>1239197537</v>
      </c>
      <c r="R94" s="50">
        <f t="shared" si="34"/>
        <v>0.82613169133333331</v>
      </c>
      <c r="S94" s="14">
        <f>S96+S95</f>
        <v>4089333</v>
      </c>
      <c r="T94" s="22">
        <f>T96+T95</f>
        <v>4089333</v>
      </c>
    </row>
    <row r="95" spans="1:259" s="47" customFormat="1" ht="24.75" customHeight="1" x14ac:dyDescent="0.25">
      <c r="A95" s="91" t="s">
        <v>3</v>
      </c>
      <c r="B95" s="7" t="s">
        <v>51</v>
      </c>
      <c r="C95" s="7" t="s">
        <v>51</v>
      </c>
      <c r="D95" s="7" t="s">
        <v>34</v>
      </c>
      <c r="E95" s="7" t="s">
        <v>157</v>
      </c>
      <c r="F95" s="7"/>
      <c r="G95" s="23" t="s">
        <v>158</v>
      </c>
      <c r="H95" s="7" t="s">
        <v>5</v>
      </c>
      <c r="I95" s="8">
        <v>10</v>
      </c>
      <c r="J95" s="9">
        <v>1500000000</v>
      </c>
      <c r="K95" s="9">
        <v>0</v>
      </c>
      <c r="L95" s="27">
        <v>0</v>
      </c>
      <c r="M95" s="27">
        <f>J95+K95-L95</f>
        <v>1500000000</v>
      </c>
      <c r="N95" s="9">
        <v>0</v>
      </c>
      <c r="O95" s="9">
        <v>1239197537</v>
      </c>
      <c r="P95" s="27">
        <f>M95-O95-N95</f>
        <v>260802463</v>
      </c>
      <c r="Q95" s="9">
        <v>1239197537</v>
      </c>
      <c r="R95" s="96">
        <f t="shared" si="34"/>
        <v>0.82613169133333331</v>
      </c>
      <c r="S95" s="9">
        <v>4089333</v>
      </c>
      <c r="T95" s="10">
        <v>4089333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148</v>
      </c>
      <c r="H96" s="7" t="s">
        <v>5</v>
      </c>
      <c r="I96" s="8">
        <v>10</v>
      </c>
      <c r="J96" s="9">
        <v>12721800000</v>
      </c>
      <c r="K96" s="9">
        <v>0</v>
      </c>
      <c r="L96" s="27">
        <v>0</v>
      </c>
      <c r="M96" s="27">
        <f t="shared" ref="M96:M103" si="36">J96+K96-L96</f>
        <v>12721800000</v>
      </c>
      <c r="N96" s="9">
        <v>12721800000</v>
      </c>
      <c r="O96" s="9">
        <v>0</v>
      </c>
      <c r="P96" s="27">
        <f>+M96-O96-N96</f>
        <v>0</v>
      </c>
      <c r="Q96" s="9">
        <v>0</v>
      </c>
      <c r="R96" s="50">
        <f>IF(Q96&gt;1,Q96/(M96-N96),0)</f>
        <v>0</v>
      </c>
      <c r="S96" s="9">
        <v>0</v>
      </c>
      <c r="T96" s="10">
        <v>0</v>
      </c>
    </row>
    <row r="97" spans="1:22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144</v>
      </c>
      <c r="H97" s="11" t="s">
        <v>5</v>
      </c>
      <c r="I97" s="13">
        <v>10</v>
      </c>
      <c r="J97" s="14">
        <f>J98</f>
        <v>1262700000</v>
      </c>
      <c r="K97" s="14">
        <f t="shared" ref="K97:L98" si="37">K98</f>
        <v>639000000</v>
      </c>
      <c r="L97" s="24">
        <f t="shared" si="37"/>
        <v>10000000</v>
      </c>
      <c r="M97" s="24">
        <f t="shared" si="36"/>
        <v>1891700000</v>
      </c>
      <c r="N97" s="14">
        <v>0</v>
      </c>
      <c r="O97" s="14">
        <f t="shared" ref="O97:Q98" si="38">O98</f>
        <v>1047059941</v>
      </c>
      <c r="P97" s="24">
        <f>P98</f>
        <v>844640059</v>
      </c>
      <c r="Q97" s="14">
        <f t="shared" si="38"/>
        <v>1047059941</v>
      </c>
      <c r="R97" s="50">
        <f>IF(Q97&gt;1,Q97/(M97-N97),0)</f>
        <v>0.55350210974255964</v>
      </c>
      <c r="S97" s="14">
        <f>S98</f>
        <v>1047059941</v>
      </c>
      <c r="T97" s="22">
        <f>T98</f>
        <v>1047059941</v>
      </c>
    </row>
    <row r="98" spans="1:22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109</v>
      </c>
      <c r="H98" s="11" t="s">
        <v>5</v>
      </c>
      <c r="I98" s="13">
        <v>10</v>
      </c>
      <c r="J98" s="24">
        <f>J99</f>
        <v>1262700000</v>
      </c>
      <c r="K98" s="24">
        <f t="shared" si="37"/>
        <v>639000000</v>
      </c>
      <c r="L98" s="24">
        <f t="shared" si="37"/>
        <v>10000000</v>
      </c>
      <c r="M98" s="24">
        <f t="shared" si="36"/>
        <v>1891700000</v>
      </c>
      <c r="N98" s="24"/>
      <c r="O98" s="24">
        <f t="shared" si="38"/>
        <v>1047059941</v>
      </c>
      <c r="P98" s="24">
        <f t="shared" si="38"/>
        <v>844640059</v>
      </c>
      <c r="Q98" s="14">
        <f t="shared" si="38"/>
        <v>1047059941</v>
      </c>
      <c r="R98" s="50">
        <f t="shared" si="34"/>
        <v>0.55350210974255964</v>
      </c>
      <c r="S98" s="14">
        <f>S99</f>
        <v>1047059941</v>
      </c>
      <c r="T98" s="22">
        <f>T99</f>
        <v>1047059941</v>
      </c>
    </row>
    <row r="99" spans="1:22" s="6" customFormat="1" ht="16.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82</v>
      </c>
      <c r="H99" s="11" t="s">
        <v>5</v>
      </c>
      <c r="I99" s="13">
        <v>10</v>
      </c>
      <c r="J99" s="24">
        <f>J100+J101</f>
        <v>1262700000</v>
      </c>
      <c r="K99" s="24">
        <f t="shared" ref="K99:L99" si="39">K100+K101</f>
        <v>639000000</v>
      </c>
      <c r="L99" s="24">
        <f t="shared" si="39"/>
        <v>10000000</v>
      </c>
      <c r="M99" s="24">
        <f t="shared" si="36"/>
        <v>1891700000</v>
      </c>
      <c r="N99" s="24">
        <f>N100+N101</f>
        <v>0</v>
      </c>
      <c r="O99" s="24">
        <f>O100+O101</f>
        <v>1047059941</v>
      </c>
      <c r="P99" s="24">
        <f>P100+P101</f>
        <v>844640059</v>
      </c>
      <c r="Q99" s="24">
        <f>Q100+Q101</f>
        <v>1047059941</v>
      </c>
      <c r="R99" s="26">
        <f t="shared" si="34"/>
        <v>0.55350210974255964</v>
      </c>
      <c r="S99" s="14">
        <f>S100+S101</f>
        <v>1047059941</v>
      </c>
      <c r="T99" s="22">
        <f>T100+T101</f>
        <v>1047059941</v>
      </c>
    </row>
    <row r="100" spans="1:22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661204158</v>
      </c>
      <c r="K100" s="27">
        <f>10000000+592543339</f>
        <v>602543339</v>
      </c>
      <c r="L100" s="27">
        <v>0</v>
      </c>
      <c r="M100" s="27">
        <f t="shared" si="36"/>
        <v>1263747497</v>
      </c>
      <c r="N100" s="9"/>
      <c r="O100" s="27">
        <v>661451386</v>
      </c>
      <c r="P100" s="27">
        <f>+M100-O100-N100</f>
        <v>602296111</v>
      </c>
      <c r="Q100" s="27">
        <v>661451386</v>
      </c>
      <c r="R100" s="25">
        <f t="shared" si="34"/>
        <v>0.52340470510937831</v>
      </c>
      <c r="S100" s="27">
        <v>661451386</v>
      </c>
      <c r="T100" s="51">
        <v>661451386</v>
      </c>
    </row>
    <row r="101" spans="1:22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601495842</v>
      </c>
      <c r="K101" s="27">
        <v>36456661</v>
      </c>
      <c r="L101" s="27">
        <v>10000000</v>
      </c>
      <c r="M101" s="27">
        <f t="shared" si="36"/>
        <v>627952503</v>
      </c>
      <c r="N101" s="9">
        <v>0</v>
      </c>
      <c r="O101" s="27">
        <v>385608555</v>
      </c>
      <c r="P101" s="27">
        <f>+M101-O101-N101</f>
        <v>242343948</v>
      </c>
      <c r="Q101" s="27">
        <v>385608555</v>
      </c>
      <c r="R101" s="25">
        <f t="shared" si="34"/>
        <v>0.61407280512105866</v>
      </c>
      <c r="S101" s="27">
        <v>385608555</v>
      </c>
      <c r="T101" s="51">
        <v>385608555</v>
      </c>
    </row>
    <row r="102" spans="1:22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86</v>
      </c>
      <c r="H102" s="11" t="s">
        <v>5</v>
      </c>
      <c r="I102" s="11">
        <v>11</v>
      </c>
      <c r="J102" s="24">
        <f>J103</f>
        <v>1015700000</v>
      </c>
      <c r="K102" s="24">
        <f t="shared" ref="K102:L102" si="40">K103</f>
        <v>0</v>
      </c>
      <c r="L102" s="24">
        <f t="shared" si="40"/>
        <v>0</v>
      </c>
      <c r="M102" s="24">
        <f t="shared" si="36"/>
        <v>1015700000</v>
      </c>
      <c r="N102" s="14">
        <f>N103</f>
        <v>0</v>
      </c>
      <c r="O102" s="24">
        <f>O103</f>
        <v>294172700</v>
      </c>
      <c r="P102" s="24">
        <f>P103</f>
        <v>721527300</v>
      </c>
      <c r="Q102" s="24">
        <f>Q103</f>
        <v>286372700</v>
      </c>
      <c r="R102" s="26">
        <f t="shared" si="34"/>
        <v>0.28194614551540809</v>
      </c>
      <c r="S102" s="24">
        <f>S103</f>
        <v>286372700</v>
      </c>
      <c r="T102" s="33">
        <f>T103</f>
        <v>286372700</v>
      </c>
    </row>
    <row r="103" spans="1:22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23" t="s">
        <v>86</v>
      </c>
      <c r="H103" s="7" t="s">
        <v>5</v>
      </c>
      <c r="I103" s="7">
        <v>11</v>
      </c>
      <c r="J103" s="27">
        <v>1015700000</v>
      </c>
      <c r="K103" s="27">
        <v>0</v>
      </c>
      <c r="L103" s="27">
        <v>0</v>
      </c>
      <c r="M103" s="27">
        <f t="shared" si="36"/>
        <v>1015700000</v>
      </c>
      <c r="N103" s="9">
        <v>0</v>
      </c>
      <c r="O103" s="9">
        <v>294172700</v>
      </c>
      <c r="P103" s="27">
        <f>+M103-O103-N103</f>
        <v>721527300</v>
      </c>
      <c r="Q103" s="27">
        <v>286372700</v>
      </c>
      <c r="R103" s="25">
        <f t="shared" si="34"/>
        <v>0.28194614551540809</v>
      </c>
      <c r="S103" s="27">
        <v>286372700</v>
      </c>
      <c r="T103" s="51">
        <v>286372700</v>
      </c>
    </row>
    <row r="104" spans="1:22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>J102+J97+J93</f>
        <v>16500200000</v>
      </c>
      <c r="K104" s="64">
        <f>K102+K97+K93</f>
        <v>639000000</v>
      </c>
      <c r="L104" s="64">
        <f t="shared" ref="L104" si="41">L102+L97+L93</f>
        <v>10000000</v>
      </c>
      <c r="M104" s="64">
        <f>M102+M97+M93</f>
        <v>17129200000</v>
      </c>
      <c r="N104" s="64">
        <f>N102+N97+N93</f>
        <v>12721800000</v>
      </c>
      <c r="O104" s="64">
        <f>O102+O97+O93</f>
        <v>2580430178</v>
      </c>
      <c r="P104" s="64">
        <f>P102+P97+P93</f>
        <v>1826969822</v>
      </c>
      <c r="Q104" s="64">
        <f>Q102+Q97+Q93</f>
        <v>2572630178</v>
      </c>
      <c r="R104" s="76">
        <f t="shared" si="34"/>
        <v>0.5837069877932568</v>
      </c>
      <c r="S104" s="64">
        <f>S102+S97+S93</f>
        <v>1337521974</v>
      </c>
      <c r="T104" s="73">
        <f>T102+T97+T93</f>
        <v>1337521974</v>
      </c>
      <c r="U104" s="54"/>
      <c r="V104" s="54"/>
    </row>
    <row r="105" spans="1:22" s="6" customFormat="1" ht="16.5" customHeight="1" thickBot="1" x14ac:dyDescent="0.3">
      <c r="A105" s="128" t="s">
        <v>27</v>
      </c>
      <c r="B105" s="129"/>
      <c r="C105" s="129"/>
      <c r="D105" s="129"/>
      <c r="E105" s="129"/>
      <c r="F105" s="129"/>
      <c r="G105" s="129"/>
      <c r="H105" s="129"/>
      <c r="I105" s="130"/>
      <c r="J105" s="77">
        <f>J104</f>
        <v>16500200000</v>
      </c>
      <c r="K105" s="77">
        <f t="shared" ref="K105:L105" si="42">K104</f>
        <v>639000000</v>
      </c>
      <c r="L105" s="77">
        <f t="shared" si="42"/>
        <v>10000000</v>
      </c>
      <c r="M105" s="77">
        <f>M104</f>
        <v>17129200000</v>
      </c>
      <c r="N105" s="77">
        <f>N104</f>
        <v>12721800000</v>
      </c>
      <c r="O105" s="77">
        <f>O104</f>
        <v>2580430178</v>
      </c>
      <c r="P105" s="77">
        <f>P104</f>
        <v>1826969822</v>
      </c>
      <c r="Q105" s="77">
        <f>Q104</f>
        <v>2572630178</v>
      </c>
      <c r="R105" s="76">
        <f t="shared" si="34"/>
        <v>0.5837069877932568</v>
      </c>
      <c r="S105" s="77">
        <f>S104</f>
        <v>1337521974</v>
      </c>
      <c r="T105" s="78">
        <f>T104</f>
        <v>1337521974</v>
      </c>
    </row>
    <row r="106" spans="1:22" s="47" customFormat="1" ht="16.5" customHeight="1" thickBot="1" x14ac:dyDescent="0.3">
      <c r="A106" s="122" t="s">
        <v>106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4"/>
    </row>
    <row r="107" spans="1:22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85</v>
      </c>
      <c r="H107" s="11" t="s">
        <v>5</v>
      </c>
      <c r="I107" s="11" t="s">
        <v>6</v>
      </c>
      <c r="J107" s="24">
        <f>J109</f>
        <v>469200000</v>
      </c>
      <c r="K107" s="24">
        <f t="shared" ref="K107:L107" si="43">K109</f>
        <v>0</v>
      </c>
      <c r="L107" s="24">
        <f t="shared" si="43"/>
        <v>0</v>
      </c>
      <c r="M107" s="24">
        <f>M109</f>
        <v>469200000</v>
      </c>
      <c r="N107" s="24">
        <f>N109+N113</f>
        <v>41941000</v>
      </c>
      <c r="O107" s="24">
        <f>O109</f>
        <v>427258701</v>
      </c>
      <c r="P107" s="24">
        <f>P109</f>
        <v>299</v>
      </c>
      <c r="Q107" s="24">
        <f>Q109</f>
        <v>427258701</v>
      </c>
      <c r="R107" s="26">
        <f>IF(Q107&gt;1,Q107/(M107-N107),0)</f>
        <v>0.99999930019028271</v>
      </c>
      <c r="S107" s="24">
        <f>S109</f>
        <v>427258701</v>
      </c>
      <c r="T107" s="33">
        <f>T109</f>
        <v>427258701</v>
      </c>
    </row>
    <row r="108" spans="1:22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85</v>
      </c>
      <c r="H108" s="11" t="s">
        <v>5</v>
      </c>
      <c r="I108" s="11">
        <v>11</v>
      </c>
      <c r="J108" s="24">
        <f>J112</f>
        <v>850000000</v>
      </c>
      <c r="K108" s="24">
        <f t="shared" ref="K108:L108" si="44">K112</f>
        <v>0</v>
      </c>
      <c r="L108" s="24">
        <f t="shared" si="44"/>
        <v>0</v>
      </c>
      <c r="M108" s="24">
        <f>M112</f>
        <v>850000000</v>
      </c>
      <c r="N108" s="24">
        <f>N112</f>
        <v>0</v>
      </c>
      <c r="O108" s="24">
        <f>O112</f>
        <v>804689094</v>
      </c>
      <c r="P108" s="24">
        <f>P112</f>
        <v>45310906</v>
      </c>
      <c r="Q108" s="24">
        <f>Q112</f>
        <v>804689094</v>
      </c>
      <c r="R108" s="26">
        <f t="shared" ref="R108:R121" si="45">IF(Q108&gt;1,Q108/(M108-N108),0)</f>
        <v>0.94669305176470586</v>
      </c>
      <c r="S108" s="24">
        <f>S112</f>
        <v>0</v>
      </c>
      <c r="T108" s="33">
        <f>T112</f>
        <v>0</v>
      </c>
    </row>
    <row r="109" spans="1:22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83</v>
      </c>
      <c r="H109" s="11" t="s">
        <v>5</v>
      </c>
      <c r="I109" s="11" t="s">
        <v>6</v>
      </c>
      <c r="J109" s="24">
        <f>J110+J111</f>
        <v>469200000</v>
      </c>
      <c r="K109" s="24">
        <f t="shared" ref="K109:L109" si="46">K110+K111</f>
        <v>0</v>
      </c>
      <c r="L109" s="24">
        <f t="shared" si="46"/>
        <v>0</v>
      </c>
      <c r="M109" s="24">
        <f>M110+M111</f>
        <v>469200000</v>
      </c>
      <c r="N109" s="24">
        <f>N110+N111</f>
        <v>41941000</v>
      </c>
      <c r="O109" s="24">
        <f>O110+O111</f>
        <v>427258701</v>
      </c>
      <c r="P109" s="24">
        <f>M109-O109-N109</f>
        <v>299</v>
      </c>
      <c r="Q109" s="24">
        <f>Q110+Q111</f>
        <v>427258701</v>
      </c>
      <c r="R109" s="26">
        <f>IF(Q109&gt;1,Q109/(M109-N109),0)</f>
        <v>0.99999930019028271</v>
      </c>
      <c r="S109" s="24">
        <f>S110+S111</f>
        <v>427258701</v>
      </c>
      <c r="T109" s="33">
        <f>T110+T111</f>
        <v>427258701</v>
      </c>
    </row>
    <row r="110" spans="1:22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458200000</v>
      </c>
      <c r="K110" s="27">
        <v>0</v>
      </c>
      <c r="L110" s="27">
        <v>0</v>
      </c>
      <c r="M110" s="27">
        <v>458200000</v>
      </c>
      <c r="N110" s="9">
        <f>41941000-2646700</f>
        <v>39294300</v>
      </c>
      <c r="O110" s="27">
        <v>418905401</v>
      </c>
      <c r="P110" s="27">
        <f>+M110-O110-N110</f>
        <v>299</v>
      </c>
      <c r="Q110" s="27">
        <v>418905401</v>
      </c>
      <c r="R110" s="26">
        <f>IF(Q110&gt;1,Q110/(M110-N110),0)</f>
        <v>0.9999992862355418</v>
      </c>
      <c r="S110" s="27">
        <v>418905401</v>
      </c>
      <c r="T110" s="51">
        <v>418905401</v>
      </c>
    </row>
    <row r="111" spans="1:22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11000000</v>
      </c>
      <c r="K111" s="27">
        <v>0</v>
      </c>
      <c r="L111" s="27">
        <v>0</v>
      </c>
      <c r="M111" s="27">
        <v>11000000</v>
      </c>
      <c r="N111" s="9">
        <v>2646700</v>
      </c>
      <c r="O111" s="27">
        <v>8353300</v>
      </c>
      <c r="P111" s="27">
        <f>+M111-O111-N111</f>
        <v>0</v>
      </c>
      <c r="Q111" s="27">
        <v>8353300</v>
      </c>
      <c r="R111" s="26">
        <f t="shared" si="45"/>
        <v>1</v>
      </c>
      <c r="S111" s="27">
        <v>8353300</v>
      </c>
      <c r="T111" s="51">
        <v>8353300</v>
      </c>
    </row>
    <row r="112" spans="1:22" s="47" customFormat="1" ht="16.5" customHeight="1" x14ac:dyDescent="0.25">
      <c r="A112" s="90" t="s">
        <v>3</v>
      </c>
      <c r="B112" s="11" t="s">
        <v>72</v>
      </c>
      <c r="C112" s="11" t="s">
        <v>70</v>
      </c>
      <c r="D112" s="11"/>
      <c r="E112" s="11"/>
      <c r="F112" s="11"/>
      <c r="G112" s="12" t="s">
        <v>142</v>
      </c>
      <c r="H112" s="11" t="s">
        <v>5</v>
      </c>
      <c r="I112" s="11">
        <v>11</v>
      </c>
      <c r="J112" s="24">
        <f>J113</f>
        <v>850000000</v>
      </c>
      <c r="K112" s="24">
        <f t="shared" ref="K112:L113" si="47">K113</f>
        <v>0</v>
      </c>
      <c r="L112" s="24">
        <f t="shared" si="47"/>
        <v>0</v>
      </c>
      <c r="M112" s="24">
        <f>M113</f>
        <v>850000000</v>
      </c>
      <c r="N112" s="14">
        <f>N113</f>
        <v>0</v>
      </c>
      <c r="O112" s="24">
        <f t="shared" ref="O112:T113" si="48">O113</f>
        <v>804689094</v>
      </c>
      <c r="P112" s="24">
        <f>+M112-O112-N112</f>
        <v>45310906</v>
      </c>
      <c r="Q112" s="24">
        <f t="shared" si="48"/>
        <v>804689094</v>
      </c>
      <c r="R112" s="26">
        <f t="shared" si="45"/>
        <v>0.94669305176470586</v>
      </c>
      <c r="S112" s="24">
        <f t="shared" si="48"/>
        <v>0</v>
      </c>
      <c r="T112" s="33">
        <f t="shared" si="48"/>
        <v>0</v>
      </c>
    </row>
    <row r="113" spans="1:21" s="6" customFormat="1" ht="16.5" customHeight="1" x14ac:dyDescent="0.25">
      <c r="A113" s="90" t="s">
        <v>3</v>
      </c>
      <c r="B113" s="11" t="s">
        <v>72</v>
      </c>
      <c r="C113" s="11" t="s">
        <v>70</v>
      </c>
      <c r="D113" s="71" t="s">
        <v>34</v>
      </c>
      <c r="E113" s="11"/>
      <c r="F113" s="11"/>
      <c r="G113" s="12" t="s">
        <v>84</v>
      </c>
      <c r="H113" s="11" t="s">
        <v>5</v>
      </c>
      <c r="I113" s="11">
        <v>11</v>
      </c>
      <c r="J113" s="24">
        <f>J114</f>
        <v>850000000</v>
      </c>
      <c r="K113" s="24">
        <f t="shared" si="47"/>
        <v>0</v>
      </c>
      <c r="L113" s="24">
        <f t="shared" si="47"/>
        <v>0</v>
      </c>
      <c r="M113" s="24">
        <f>M114</f>
        <v>850000000</v>
      </c>
      <c r="N113" s="14">
        <f>N114</f>
        <v>0</v>
      </c>
      <c r="O113" s="24">
        <f t="shared" si="48"/>
        <v>804689094</v>
      </c>
      <c r="P113" s="24">
        <f>+M113-O113-N113</f>
        <v>45310906</v>
      </c>
      <c r="Q113" s="24">
        <f t="shared" si="48"/>
        <v>804689094</v>
      </c>
      <c r="R113" s="26">
        <f t="shared" si="45"/>
        <v>0.94669305176470586</v>
      </c>
      <c r="S113" s="24">
        <f t="shared" si="48"/>
        <v>0</v>
      </c>
      <c r="T113" s="33">
        <f t="shared" si="48"/>
        <v>0</v>
      </c>
    </row>
    <row r="114" spans="1:21" ht="18" customHeight="1" x14ac:dyDescent="0.25">
      <c r="A114" s="91" t="s">
        <v>3</v>
      </c>
      <c r="B114" s="7" t="s">
        <v>72</v>
      </c>
      <c r="C114" s="7" t="s">
        <v>70</v>
      </c>
      <c r="D114" s="7" t="s">
        <v>34</v>
      </c>
      <c r="E114" s="7"/>
      <c r="F114" s="7"/>
      <c r="G114" s="23" t="s">
        <v>84</v>
      </c>
      <c r="H114" s="7" t="s">
        <v>5</v>
      </c>
      <c r="I114" s="7">
        <v>11</v>
      </c>
      <c r="J114" s="27">
        <v>850000000</v>
      </c>
      <c r="K114" s="27">
        <v>0</v>
      </c>
      <c r="L114" s="27">
        <v>0</v>
      </c>
      <c r="M114" s="27">
        <f>J114+K114-L114</f>
        <v>850000000</v>
      </c>
      <c r="N114" s="9">
        <v>0</v>
      </c>
      <c r="O114" s="27">
        <v>804689094</v>
      </c>
      <c r="P114" s="27">
        <f>+M114-O114-N114</f>
        <v>45310906</v>
      </c>
      <c r="Q114" s="27">
        <v>804689094</v>
      </c>
      <c r="R114" s="25">
        <f t="shared" si="45"/>
        <v>0.94669305176470586</v>
      </c>
      <c r="S114" s="27">
        <v>0</v>
      </c>
      <c r="T114" s="51">
        <v>0</v>
      </c>
    </row>
    <row r="115" spans="1:21" ht="26.25" customHeight="1" x14ac:dyDescent="0.25">
      <c r="A115" s="92" t="s">
        <v>3</v>
      </c>
      <c r="B115" s="81" t="s">
        <v>72</v>
      </c>
      <c r="C115" s="81"/>
      <c r="D115" s="81"/>
      <c r="E115" s="81"/>
      <c r="F115" s="81"/>
      <c r="G115" s="82" t="s">
        <v>105</v>
      </c>
      <c r="H115" s="81" t="s">
        <v>5</v>
      </c>
      <c r="I115" s="83" t="s">
        <v>6</v>
      </c>
      <c r="J115" s="64">
        <f>J107</f>
        <v>469200000</v>
      </c>
      <c r="K115" s="64">
        <f t="shared" ref="K115:L115" si="49">K107</f>
        <v>0</v>
      </c>
      <c r="L115" s="64">
        <f t="shared" si="49"/>
        <v>0</v>
      </c>
      <c r="M115" s="64">
        <f>M107</f>
        <v>469200000</v>
      </c>
      <c r="N115" s="64">
        <f>N109</f>
        <v>41941000</v>
      </c>
      <c r="O115" s="64">
        <f>O109</f>
        <v>427258701</v>
      </c>
      <c r="P115" s="64">
        <f>P109</f>
        <v>299</v>
      </c>
      <c r="Q115" s="64">
        <f>Q109</f>
        <v>427258701</v>
      </c>
      <c r="R115" s="76">
        <f t="shared" si="45"/>
        <v>0.99999930019028271</v>
      </c>
      <c r="S115" s="64">
        <f>S109</f>
        <v>427258701</v>
      </c>
      <c r="T115" s="73">
        <f>T109</f>
        <v>427258701</v>
      </c>
    </row>
    <row r="116" spans="1:21" ht="26.25" customHeight="1" x14ac:dyDescent="0.25">
      <c r="A116" s="92" t="s">
        <v>3</v>
      </c>
      <c r="B116" s="81" t="s">
        <v>72</v>
      </c>
      <c r="C116" s="81"/>
      <c r="D116" s="81"/>
      <c r="E116" s="81"/>
      <c r="F116" s="81"/>
      <c r="G116" s="82" t="s">
        <v>105</v>
      </c>
      <c r="H116" s="81" t="s">
        <v>5</v>
      </c>
      <c r="I116" s="83">
        <v>11</v>
      </c>
      <c r="J116" s="64">
        <f>J108</f>
        <v>850000000</v>
      </c>
      <c r="K116" s="64">
        <f t="shared" ref="K116:L116" si="50">K108</f>
        <v>0</v>
      </c>
      <c r="L116" s="64">
        <f t="shared" si="50"/>
        <v>0</v>
      </c>
      <c r="M116" s="64">
        <f>M108</f>
        <v>850000000</v>
      </c>
      <c r="N116" s="64">
        <f>N113</f>
        <v>0</v>
      </c>
      <c r="O116" s="64">
        <f>O108</f>
        <v>804689094</v>
      </c>
      <c r="P116" s="64">
        <f>P108</f>
        <v>45310906</v>
      </c>
      <c r="Q116" s="64">
        <f>Q108</f>
        <v>804689094</v>
      </c>
      <c r="R116" s="76">
        <f t="shared" si="45"/>
        <v>0.94669305176470586</v>
      </c>
      <c r="S116" s="64">
        <f>S108</f>
        <v>0</v>
      </c>
      <c r="T116" s="73">
        <f>T108</f>
        <v>0</v>
      </c>
    </row>
    <row r="117" spans="1:21" ht="16.5" customHeight="1" x14ac:dyDescent="0.25">
      <c r="A117" s="128" t="s">
        <v>110</v>
      </c>
      <c r="B117" s="129"/>
      <c r="C117" s="129"/>
      <c r="D117" s="129"/>
      <c r="E117" s="129"/>
      <c r="F117" s="129"/>
      <c r="G117" s="129"/>
      <c r="H117" s="129"/>
      <c r="I117" s="130"/>
      <c r="J117" s="77">
        <f>J115+J116</f>
        <v>1319200000</v>
      </c>
      <c r="K117" s="77">
        <f t="shared" ref="K117:L117" si="51">K115+K116</f>
        <v>0</v>
      </c>
      <c r="L117" s="77">
        <f t="shared" si="51"/>
        <v>0</v>
      </c>
      <c r="M117" s="77">
        <f>M115+M116</f>
        <v>1319200000</v>
      </c>
      <c r="N117" s="77">
        <f>N115+N116</f>
        <v>41941000</v>
      </c>
      <c r="O117" s="77">
        <f>O115+O116</f>
        <v>1231947795</v>
      </c>
      <c r="P117" s="77">
        <f>P115+P116</f>
        <v>45311205</v>
      </c>
      <c r="Q117" s="77">
        <f>Q115+Q116</f>
        <v>1231947795</v>
      </c>
      <c r="R117" s="76">
        <f t="shared" si="45"/>
        <v>0.96452465396603193</v>
      </c>
      <c r="S117" s="77">
        <f>S115+S116</f>
        <v>427258701</v>
      </c>
      <c r="T117" s="78">
        <f>T115+T116</f>
        <v>427258701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5</v>
      </c>
      <c r="I118" s="86">
        <v>10</v>
      </c>
      <c r="J118" s="72">
        <f t="shared" ref="J118:Q118" si="52">+J115+J88+J33+J104</f>
        <v>332071100000</v>
      </c>
      <c r="K118" s="72">
        <f t="shared" si="52"/>
        <v>30812581003.669998</v>
      </c>
      <c r="L118" s="72">
        <f t="shared" si="52"/>
        <v>11335581003.67</v>
      </c>
      <c r="M118" s="72">
        <f t="shared" si="52"/>
        <v>351548100000</v>
      </c>
      <c r="N118" s="72">
        <f t="shared" si="52"/>
        <v>16114941000</v>
      </c>
      <c r="O118" s="72">
        <f t="shared" si="52"/>
        <v>254351338670.44</v>
      </c>
      <c r="P118" s="72">
        <f>+P115+P88+P33+P104</f>
        <v>81081820329.559998</v>
      </c>
      <c r="Q118" s="72">
        <f t="shared" si="52"/>
        <v>250604461315.37</v>
      </c>
      <c r="R118" s="74">
        <f>IF(Q118&gt;1,Q118/(M118-N118),0)</f>
        <v>0.74710700057942092</v>
      </c>
      <c r="S118" s="72">
        <f>+S115+S88+S33+S104</f>
        <v>238101821071.97998</v>
      </c>
      <c r="T118" s="75">
        <f>+T115+T88+T33+T104</f>
        <v>238080739328.32001</v>
      </c>
    </row>
    <row r="119" spans="1:21" ht="16.5" customHeight="1" x14ac:dyDescent="0.25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11</v>
      </c>
      <c r="J119" s="72">
        <f>J116</f>
        <v>850000000</v>
      </c>
      <c r="K119" s="72">
        <f t="shared" ref="K119:L119" si="53">K116</f>
        <v>0</v>
      </c>
      <c r="L119" s="72">
        <f t="shared" si="53"/>
        <v>0</v>
      </c>
      <c r="M119" s="72">
        <f>M116</f>
        <v>850000000</v>
      </c>
      <c r="N119" s="72">
        <f>N116</f>
        <v>0</v>
      </c>
      <c r="O119" s="72">
        <f>O116</f>
        <v>804689094</v>
      </c>
      <c r="P119" s="72">
        <f>P116</f>
        <v>45310906</v>
      </c>
      <c r="Q119" s="72">
        <f>Q116</f>
        <v>804689094</v>
      </c>
      <c r="R119" s="74">
        <f t="shared" si="45"/>
        <v>0.94669305176470586</v>
      </c>
      <c r="S119" s="72">
        <f>S116</f>
        <v>0</v>
      </c>
      <c r="T119" s="75">
        <f>T116</f>
        <v>0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8</v>
      </c>
      <c r="I120" s="86">
        <v>20</v>
      </c>
      <c r="J120" s="72">
        <f t="shared" ref="J120:L120" si="54">J89</f>
        <v>786000000</v>
      </c>
      <c r="K120" s="72">
        <f t="shared" si="54"/>
        <v>0</v>
      </c>
      <c r="L120" s="72">
        <f t="shared" si="54"/>
        <v>0</v>
      </c>
      <c r="M120" s="72">
        <f t="shared" ref="M120:Q121" si="55">M89</f>
        <v>786000000</v>
      </c>
      <c r="N120" s="72">
        <f t="shared" si="55"/>
        <v>0</v>
      </c>
      <c r="O120" s="72">
        <f t="shared" si="55"/>
        <v>605022219.33000004</v>
      </c>
      <c r="P120" s="72">
        <f t="shared" si="55"/>
        <v>180977780.66999996</v>
      </c>
      <c r="Q120" s="72">
        <f t="shared" si="55"/>
        <v>605022219.33000004</v>
      </c>
      <c r="R120" s="74">
        <f t="shared" si="45"/>
        <v>0.76974837064885504</v>
      </c>
      <c r="S120" s="72">
        <f>S89</f>
        <v>561013624</v>
      </c>
      <c r="T120" s="75">
        <f>T89</f>
        <v>561013624</v>
      </c>
    </row>
    <row r="121" spans="1:21" s="5" customFormat="1" ht="15" customHeight="1" x14ac:dyDescent="0.2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21</v>
      </c>
      <c r="J121" s="72">
        <f t="shared" ref="J121:L121" si="56">J90</f>
        <v>391600000</v>
      </c>
      <c r="K121" s="72">
        <f t="shared" si="56"/>
        <v>0</v>
      </c>
      <c r="L121" s="72">
        <f t="shared" si="56"/>
        <v>0</v>
      </c>
      <c r="M121" s="72">
        <f t="shared" si="55"/>
        <v>391600000</v>
      </c>
      <c r="N121" s="72">
        <f t="shared" si="55"/>
        <v>0</v>
      </c>
      <c r="O121" s="72">
        <f t="shared" si="55"/>
        <v>391600000</v>
      </c>
      <c r="P121" s="72">
        <f t="shared" si="55"/>
        <v>0</v>
      </c>
      <c r="Q121" s="72">
        <f t="shared" si="55"/>
        <v>391600000</v>
      </c>
      <c r="R121" s="74">
        <f t="shared" si="45"/>
        <v>1</v>
      </c>
      <c r="S121" s="72">
        <f>S90</f>
        <v>391600000</v>
      </c>
      <c r="T121" s="75">
        <f>T90</f>
        <v>391600000</v>
      </c>
      <c r="U121" s="46"/>
    </row>
    <row r="122" spans="1:21" ht="15.75" customHeight="1" thickBot="1" x14ac:dyDescent="0.3">
      <c r="A122" s="131" t="s">
        <v>28</v>
      </c>
      <c r="B122" s="132"/>
      <c r="C122" s="132"/>
      <c r="D122" s="132"/>
      <c r="E122" s="132"/>
      <c r="F122" s="132"/>
      <c r="G122" s="132"/>
      <c r="H122" s="132"/>
      <c r="I122" s="133"/>
      <c r="J122" s="41">
        <f>SUM(J118:J121)</f>
        <v>334098700000</v>
      </c>
      <c r="K122" s="41">
        <f t="shared" ref="K122:L122" si="57">SUM(K118:K121)</f>
        <v>30812581003.669998</v>
      </c>
      <c r="L122" s="41">
        <f t="shared" si="57"/>
        <v>11335581003.67</v>
      </c>
      <c r="M122" s="41">
        <f>SUM(M118:M121)</f>
        <v>353575700000</v>
      </c>
      <c r="N122" s="41">
        <f>SUM(N118:N121)</f>
        <v>16114941000</v>
      </c>
      <c r="O122" s="41">
        <f>SUM(O118:O121)</f>
        <v>256152649983.76999</v>
      </c>
      <c r="P122" s="41">
        <f>SUM(P118:P121)</f>
        <v>81308109016.229996</v>
      </c>
      <c r="Q122" s="41">
        <f>SUM(Q118:Q121)</f>
        <v>252405772628.69998</v>
      </c>
      <c r="R122" s="43">
        <f>IF(Q122&gt;1,Q122/(M122-N122),0)</f>
        <v>0.74795592049474402</v>
      </c>
      <c r="S122" s="41">
        <f>SUM(S118:S121)</f>
        <v>239054434695.97998</v>
      </c>
      <c r="T122" s="52">
        <f>SUM(T118:T121)</f>
        <v>239033352952.32001</v>
      </c>
    </row>
    <row r="123" spans="1:21" s="6" customFormat="1" ht="18.75" customHeight="1" thickBot="1" x14ac:dyDescent="0.3">
      <c r="A123" s="122" t="s">
        <v>31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4"/>
    </row>
    <row r="124" spans="1:21" s="6" customFormat="1" ht="24.75" customHeight="1" x14ac:dyDescent="0.25">
      <c r="A124" s="90" t="s">
        <v>18</v>
      </c>
      <c r="B124" s="11">
        <v>2901</v>
      </c>
      <c r="C124" s="11"/>
      <c r="D124" s="11"/>
      <c r="E124" s="11"/>
      <c r="F124" s="11"/>
      <c r="G124" s="12" t="s">
        <v>103</v>
      </c>
      <c r="H124" s="11" t="s">
        <v>5</v>
      </c>
      <c r="I124" s="13">
        <v>10</v>
      </c>
      <c r="J124" s="24">
        <f>J128+J130+J132+J136+J142+J152+J156</f>
        <v>45330000000</v>
      </c>
      <c r="K124" s="24">
        <f t="shared" ref="K124:N124" si="58">K129+K131+K133+K134+K135+K139+K143++K144+K145+K153+K154+K155+K157+K158+K159+K160</f>
        <v>762962130</v>
      </c>
      <c r="L124" s="24">
        <f t="shared" si="58"/>
        <v>1308076212</v>
      </c>
      <c r="M124" s="24">
        <f>M128+M130+M132+M136+M142+M152+M156</f>
        <v>45330000000</v>
      </c>
      <c r="N124" s="14">
        <f t="shared" si="58"/>
        <v>6481782737</v>
      </c>
      <c r="O124" s="88">
        <f>O128+O130+O132+O136+O142+O152+O156</f>
        <v>37837757400.300003</v>
      </c>
      <c r="P124" s="24">
        <f>P128+P130+P132+P136+P142+P152+P156</f>
        <v>1010459862.7000005</v>
      </c>
      <c r="Q124" s="14">
        <f>Q128+Q130+Q132+Q136+Q142+Q152+Q156</f>
        <v>33282000052.459999</v>
      </c>
      <c r="R124" s="26">
        <f>IF(Q124&gt;1,Q124/(M124-N124),0)</f>
        <v>0.85671885088427457</v>
      </c>
      <c r="S124" s="14">
        <f>S128+S130+S132+S136+S142+S152+S156</f>
        <v>8597901831.1000004</v>
      </c>
      <c r="T124" s="22">
        <f>T128+T130+T132+T136+T142+T152+T156</f>
        <v>8597901831.1000004</v>
      </c>
    </row>
    <row r="125" spans="1:21" s="6" customFormat="1" ht="24.75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103</v>
      </c>
      <c r="H125" s="11" t="s">
        <v>8</v>
      </c>
      <c r="I125" s="11">
        <v>11</v>
      </c>
      <c r="J125" s="24">
        <f>J146</f>
        <v>9015000000</v>
      </c>
      <c r="K125" s="24">
        <f t="shared" ref="K125:Q125" si="59">K146</f>
        <v>0</v>
      </c>
      <c r="L125" s="24">
        <f t="shared" si="59"/>
        <v>170206055</v>
      </c>
      <c r="M125" s="24">
        <f>M146</f>
        <v>9015000000</v>
      </c>
      <c r="N125" s="14">
        <f t="shared" si="59"/>
        <v>0</v>
      </c>
      <c r="O125" s="88">
        <f t="shared" si="59"/>
        <v>8844793945</v>
      </c>
      <c r="P125" s="24">
        <f>P146</f>
        <v>170206055</v>
      </c>
      <c r="Q125" s="14">
        <f t="shared" si="59"/>
        <v>8111620883</v>
      </c>
      <c r="R125" s="26">
        <f t="shared" ref="R125:R187" si="60">IF(Q125&gt;1,Q125/(M125-N125),0)</f>
        <v>0.89979155662784249</v>
      </c>
      <c r="S125" s="14">
        <f t="shared" ref="S125:T125" si="61">S146</f>
        <v>329299199.87</v>
      </c>
      <c r="T125" s="22">
        <f t="shared" si="61"/>
        <v>329299199.87</v>
      </c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103</v>
      </c>
      <c r="H126" s="11" t="s">
        <v>8</v>
      </c>
      <c r="I126" s="13">
        <v>20</v>
      </c>
      <c r="J126" s="14">
        <f>J137</f>
        <v>4000000000</v>
      </c>
      <c r="K126" s="14">
        <f t="shared" ref="K126:Q126" si="62">K137</f>
        <v>0</v>
      </c>
      <c r="L126" s="24">
        <f t="shared" si="62"/>
        <v>4000000000</v>
      </c>
      <c r="M126" s="24">
        <f>M137</f>
        <v>4000000000</v>
      </c>
      <c r="N126" s="14">
        <f t="shared" si="62"/>
        <v>0</v>
      </c>
      <c r="O126" s="14">
        <f t="shared" si="62"/>
        <v>0</v>
      </c>
      <c r="P126" s="24">
        <f>P137+4000000000</f>
        <v>4000000000</v>
      </c>
      <c r="Q126" s="14">
        <f t="shared" si="62"/>
        <v>0</v>
      </c>
      <c r="R126" s="26">
        <f t="shared" si="60"/>
        <v>0</v>
      </c>
      <c r="S126" s="24">
        <f t="shared" ref="S126:T126" si="63">S137</f>
        <v>0</v>
      </c>
      <c r="T126" s="22">
        <f t="shared" si="63"/>
        <v>0</v>
      </c>
    </row>
    <row r="127" spans="1:21" ht="33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103</v>
      </c>
      <c r="H127" s="11" t="s">
        <v>8</v>
      </c>
      <c r="I127" s="13">
        <v>21</v>
      </c>
      <c r="J127" s="14">
        <f>J138+J147</f>
        <v>2908160000</v>
      </c>
      <c r="K127" s="14">
        <f t="shared" ref="K127:Q127" si="64">K141+K150+K151</f>
        <v>0</v>
      </c>
      <c r="L127" s="24">
        <f t="shared" si="64"/>
        <v>0</v>
      </c>
      <c r="M127" s="24">
        <f t="shared" si="64"/>
        <v>2908160000</v>
      </c>
      <c r="N127" s="14">
        <f t="shared" si="64"/>
        <v>0</v>
      </c>
      <c r="O127" s="14">
        <f t="shared" si="64"/>
        <v>2904167079.0999999</v>
      </c>
      <c r="P127" s="24">
        <f t="shared" si="64"/>
        <v>3992920.9000000954</v>
      </c>
      <c r="Q127" s="14">
        <f t="shared" si="64"/>
        <v>2850853694.0999999</v>
      </c>
      <c r="R127" s="26">
        <f t="shared" si="60"/>
        <v>0.98029465163539831</v>
      </c>
      <c r="S127" s="14">
        <f>S141+S150+S151</f>
        <v>1475526127.0999999</v>
      </c>
      <c r="T127" s="22">
        <f>T141+T150+T151</f>
        <v>1475526127.0999999</v>
      </c>
    </row>
    <row r="128" spans="1:21" ht="33" customHeight="1" x14ac:dyDescent="0.25">
      <c r="A128" s="95" t="s">
        <v>18</v>
      </c>
      <c r="B128" s="99" t="s">
        <v>90</v>
      </c>
      <c r="C128" s="99" t="s">
        <v>91</v>
      </c>
      <c r="D128" s="99" t="s">
        <v>92</v>
      </c>
      <c r="E128" s="11"/>
      <c r="F128" s="11"/>
      <c r="G128" s="12" t="s">
        <v>218</v>
      </c>
      <c r="H128" s="99" t="s">
        <v>5</v>
      </c>
      <c r="I128" s="100">
        <v>10</v>
      </c>
      <c r="J128" s="14">
        <f>J129</f>
        <v>10500000000</v>
      </c>
      <c r="K128" s="14">
        <f t="shared" ref="K128:N128" si="65">K129</f>
        <v>0</v>
      </c>
      <c r="L128" s="24">
        <f t="shared" si="65"/>
        <v>137038185</v>
      </c>
      <c r="M128" s="24">
        <f>M129+137038185</f>
        <v>10500000000</v>
      </c>
      <c r="N128" s="14">
        <f t="shared" si="65"/>
        <v>0</v>
      </c>
      <c r="O128" s="14">
        <f>O129</f>
        <v>10232837523</v>
      </c>
      <c r="P128" s="24">
        <f>P129+137038185</f>
        <v>267162477</v>
      </c>
      <c r="Q128" s="14">
        <f>Q129</f>
        <v>9567122420</v>
      </c>
      <c r="R128" s="26">
        <f t="shared" si="60"/>
        <v>0.91115451619047616</v>
      </c>
      <c r="S128" s="14">
        <f>S129</f>
        <v>1111669760</v>
      </c>
      <c r="T128" s="22">
        <f>T129</f>
        <v>1111669760</v>
      </c>
    </row>
    <row r="129" spans="1:20" ht="50.25" customHeight="1" x14ac:dyDescent="0.25">
      <c r="A129" s="94" t="s">
        <v>18</v>
      </c>
      <c r="B129" s="56" t="s">
        <v>90</v>
      </c>
      <c r="C129" s="56" t="s">
        <v>91</v>
      </c>
      <c r="D129" s="56" t="s">
        <v>92</v>
      </c>
      <c r="E129" s="56" t="s">
        <v>152</v>
      </c>
      <c r="F129" s="56" t="s">
        <v>164</v>
      </c>
      <c r="G129" s="23" t="s">
        <v>185</v>
      </c>
      <c r="H129" s="56" t="s">
        <v>5</v>
      </c>
      <c r="I129" s="57">
        <v>10</v>
      </c>
      <c r="J129" s="44">
        <v>10500000000</v>
      </c>
      <c r="K129" s="44">
        <v>0</v>
      </c>
      <c r="L129" s="44">
        <v>137038185</v>
      </c>
      <c r="M129" s="44">
        <f>J129+K129-L129</f>
        <v>10362961815</v>
      </c>
      <c r="N129" s="44">
        <v>0</v>
      </c>
      <c r="O129" s="44">
        <v>10232837523</v>
      </c>
      <c r="P129" s="44">
        <f t="shared" ref="P129:P157" si="66">+M129-O129-N129</f>
        <v>130124292</v>
      </c>
      <c r="Q129" s="58">
        <v>9567122420</v>
      </c>
      <c r="R129" s="25">
        <f t="shared" si="60"/>
        <v>0.92320348089596815</v>
      </c>
      <c r="S129" s="58">
        <v>1111669760</v>
      </c>
      <c r="T129" s="59">
        <v>1111669760</v>
      </c>
    </row>
    <row r="130" spans="1:20" ht="50.25" customHeight="1" x14ac:dyDescent="0.25">
      <c r="A130" s="95" t="s">
        <v>18</v>
      </c>
      <c r="B130" s="99" t="s">
        <v>90</v>
      </c>
      <c r="C130" s="99" t="s">
        <v>91</v>
      </c>
      <c r="D130" s="99" t="s">
        <v>6</v>
      </c>
      <c r="E130" s="99"/>
      <c r="F130" s="99"/>
      <c r="G130" s="12" t="s">
        <v>219</v>
      </c>
      <c r="H130" s="99" t="s">
        <v>5</v>
      </c>
      <c r="I130" s="100">
        <v>10</v>
      </c>
      <c r="J130" s="48">
        <f>J131</f>
        <v>100000000</v>
      </c>
      <c r="K130" s="48">
        <f t="shared" ref="K130:L130" si="67">K131</f>
        <v>0</v>
      </c>
      <c r="L130" s="48">
        <f t="shared" si="67"/>
        <v>172994</v>
      </c>
      <c r="M130" s="48">
        <f>M131+172994</f>
        <v>100000000</v>
      </c>
      <c r="N130" s="48">
        <f t="shared" ref="N130:T130" si="68">N131</f>
        <v>30479907</v>
      </c>
      <c r="O130" s="48">
        <f t="shared" si="68"/>
        <v>69347099</v>
      </c>
      <c r="P130" s="48">
        <f>P131+172994</f>
        <v>172994</v>
      </c>
      <c r="Q130" s="101">
        <f t="shared" si="68"/>
        <v>69347099</v>
      </c>
      <c r="R130" s="26">
        <f t="shared" si="60"/>
        <v>0.99751159711480819</v>
      </c>
      <c r="S130" s="101">
        <f t="shared" si="68"/>
        <v>48053793</v>
      </c>
      <c r="T130" s="102">
        <f t="shared" si="68"/>
        <v>48053793</v>
      </c>
    </row>
    <row r="131" spans="1:20" ht="46.5" customHeight="1" x14ac:dyDescent="0.25">
      <c r="A131" s="94" t="s">
        <v>18</v>
      </c>
      <c r="B131" s="56" t="s">
        <v>90</v>
      </c>
      <c r="C131" s="56" t="s">
        <v>91</v>
      </c>
      <c r="D131" s="56" t="s">
        <v>6</v>
      </c>
      <c r="E131" s="56" t="s">
        <v>152</v>
      </c>
      <c r="F131" s="56" t="s">
        <v>165</v>
      </c>
      <c r="G131" s="23" t="s">
        <v>186</v>
      </c>
      <c r="H131" s="56" t="s">
        <v>5</v>
      </c>
      <c r="I131" s="57">
        <v>10</v>
      </c>
      <c r="J131" s="58">
        <v>100000000</v>
      </c>
      <c r="K131" s="58">
        <v>0</v>
      </c>
      <c r="L131" s="44">
        <v>172994</v>
      </c>
      <c r="M131" s="44">
        <f t="shared" ref="M131:M160" si="69">J131+K131-L131</f>
        <v>99827006</v>
      </c>
      <c r="N131" s="44">
        <v>30479907</v>
      </c>
      <c r="O131" s="44">
        <v>69347099</v>
      </c>
      <c r="P131" s="44">
        <f t="shared" si="66"/>
        <v>0</v>
      </c>
      <c r="Q131" s="58">
        <v>69347099</v>
      </c>
      <c r="R131" s="25">
        <f t="shared" si="60"/>
        <v>1</v>
      </c>
      <c r="S131" s="58">
        <v>48053793</v>
      </c>
      <c r="T131" s="59">
        <v>48053793</v>
      </c>
    </row>
    <row r="132" spans="1:20" s="103" customFormat="1" ht="51.75" customHeight="1" x14ac:dyDescent="0.25">
      <c r="A132" s="95" t="s">
        <v>18</v>
      </c>
      <c r="B132" s="99" t="s">
        <v>90</v>
      </c>
      <c r="C132" s="99" t="s">
        <v>91</v>
      </c>
      <c r="D132" s="99" t="s">
        <v>7</v>
      </c>
      <c r="E132" s="99"/>
      <c r="F132" s="99"/>
      <c r="G132" s="12" t="s">
        <v>239</v>
      </c>
      <c r="H132" s="99" t="s">
        <v>5</v>
      </c>
      <c r="I132" s="100">
        <v>10</v>
      </c>
      <c r="J132" s="101">
        <f>J133+J134+J135</f>
        <v>4570000000</v>
      </c>
      <c r="K132" s="101">
        <f t="shared" ref="K132:T132" si="70">K133+K134+K135</f>
        <v>32529000</v>
      </c>
      <c r="L132" s="48">
        <f t="shared" si="70"/>
        <v>32529000</v>
      </c>
      <c r="M132" s="48">
        <f t="shared" si="70"/>
        <v>4570000000</v>
      </c>
      <c r="N132" s="48">
        <f t="shared" si="70"/>
        <v>0</v>
      </c>
      <c r="O132" s="48">
        <f t="shared" si="70"/>
        <v>4562086894.9500008</v>
      </c>
      <c r="P132" s="48">
        <f>P133+P134+P135</f>
        <v>7913105.0499999523</v>
      </c>
      <c r="Q132" s="48">
        <f t="shared" si="70"/>
        <v>3905104220.9500003</v>
      </c>
      <c r="R132" s="26">
        <f t="shared" si="60"/>
        <v>0.85450858226477033</v>
      </c>
      <c r="S132" s="101">
        <f t="shared" si="70"/>
        <v>1565785894</v>
      </c>
      <c r="T132" s="102">
        <f t="shared" si="70"/>
        <v>1565785894</v>
      </c>
    </row>
    <row r="133" spans="1:20" ht="65.25" customHeight="1" x14ac:dyDescent="0.25">
      <c r="A133" s="94" t="s">
        <v>18</v>
      </c>
      <c r="B133" s="56" t="s">
        <v>90</v>
      </c>
      <c r="C133" s="56" t="s">
        <v>91</v>
      </c>
      <c r="D133" s="56" t="s">
        <v>7</v>
      </c>
      <c r="E133" s="56" t="s">
        <v>153</v>
      </c>
      <c r="F133" s="56" t="s">
        <v>166</v>
      </c>
      <c r="G133" s="23" t="s">
        <v>187</v>
      </c>
      <c r="H133" s="56" t="s">
        <v>5</v>
      </c>
      <c r="I133" s="57">
        <v>10</v>
      </c>
      <c r="J133" s="44">
        <v>1370000000</v>
      </c>
      <c r="K133" s="44">
        <v>0</v>
      </c>
      <c r="L133" s="44">
        <v>32529000</v>
      </c>
      <c r="M133" s="44">
        <f t="shared" si="69"/>
        <v>1337471000</v>
      </c>
      <c r="N133" s="44">
        <v>0</v>
      </c>
      <c r="O133" s="44">
        <v>1337460991.55</v>
      </c>
      <c r="P133" s="44">
        <f t="shared" si="66"/>
        <v>10008.450000047684</v>
      </c>
      <c r="Q133" s="58">
        <v>1337460991.55</v>
      </c>
      <c r="R133" s="25">
        <f t="shared" si="60"/>
        <v>0.99999251688447821</v>
      </c>
      <c r="S133" s="58">
        <v>353316300</v>
      </c>
      <c r="T133" s="59">
        <v>353316300</v>
      </c>
    </row>
    <row r="134" spans="1:20" ht="76.5" customHeight="1" x14ac:dyDescent="0.25">
      <c r="A134" s="94" t="s">
        <v>18</v>
      </c>
      <c r="B134" s="56" t="s">
        <v>90</v>
      </c>
      <c r="C134" s="56" t="s">
        <v>91</v>
      </c>
      <c r="D134" s="56" t="s">
        <v>7</v>
      </c>
      <c r="E134" s="56" t="s">
        <v>153</v>
      </c>
      <c r="F134" s="56" t="s">
        <v>167</v>
      </c>
      <c r="G134" s="23" t="s">
        <v>188</v>
      </c>
      <c r="H134" s="56" t="s">
        <v>5</v>
      </c>
      <c r="I134" s="57">
        <v>10</v>
      </c>
      <c r="J134" s="44">
        <v>2050000000</v>
      </c>
      <c r="K134" s="44">
        <v>32529000</v>
      </c>
      <c r="L134" s="44">
        <v>0</v>
      </c>
      <c r="M134" s="44">
        <f t="shared" si="69"/>
        <v>2082529000</v>
      </c>
      <c r="N134" s="44">
        <v>0</v>
      </c>
      <c r="O134" s="44">
        <v>2082529000</v>
      </c>
      <c r="P134" s="44">
        <f t="shared" ref="P134:P135" si="71">+M134-O134-N134</f>
        <v>0</v>
      </c>
      <c r="Q134" s="58">
        <v>1797747740</v>
      </c>
      <c r="R134" s="25">
        <f t="shared" si="60"/>
        <v>0.86325219960922517</v>
      </c>
      <c r="S134" s="58">
        <v>1212469594</v>
      </c>
      <c r="T134" s="59">
        <v>1212469594</v>
      </c>
    </row>
    <row r="135" spans="1:20" ht="63.75" customHeight="1" x14ac:dyDescent="0.25">
      <c r="A135" s="94" t="s">
        <v>18</v>
      </c>
      <c r="B135" s="56" t="s">
        <v>90</v>
      </c>
      <c r="C135" s="56" t="s">
        <v>91</v>
      </c>
      <c r="D135" s="56" t="s">
        <v>7</v>
      </c>
      <c r="E135" s="56" t="s">
        <v>153</v>
      </c>
      <c r="F135" s="56" t="s">
        <v>168</v>
      </c>
      <c r="G135" s="23" t="s">
        <v>189</v>
      </c>
      <c r="H135" s="56" t="s">
        <v>5</v>
      </c>
      <c r="I135" s="57">
        <v>10</v>
      </c>
      <c r="J135" s="44">
        <v>1150000000</v>
      </c>
      <c r="K135" s="44">
        <v>0</v>
      </c>
      <c r="L135" s="44">
        <v>0</v>
      </c>
      <c r="M135" s="44">
        <f t="shared" si="69"/>
        <v>1150000000</v>
      </c>
      <c r="N135" s="44">
        <v>0</v>
      </c>
      <c r="O135" s="44">
        <v>1142096903.4000001</v>
      </c>
      <c r="P135" s="44">
        <f t="shared" si="71"/>
        <v>7903096.5999999046</v>
      </c>
      <c r="Q135" s="58">
        <v>769895489.39999998</v>
      </c>
      <c r="R135" s="25">
        <f t="shared" si="60"/>
        <v>0.66947433860869565</v>
      </c>
      <c r="S135" s="58">
        <v>0</v>
      </c>
      <c r="T135" s="59">
        <v>0</v>
      </c>
    </row>
    <row r="136" spans="1:20" ht="49.5" customHeight="1" x14ac:dyDescent="0.25">
      <c r="A136" s="95" t="s">
        <v>18</v>
      </c>
      <c r="B136" s="99" t="s">
        <v>90</v>
      </c>
      <c r="C136" s="99" t="s">
        <v>91</v>
      </c>
      <c r="D136" s="99" t="s">
        <v>93</v>
      </c>
      <c r="E136" s="99"/>
      <c r="F136" s="99"/>
      <c r="G136" s="12" t="s">
        <v>220</v>
      </c>
      <c r="H136" s="99" t="s">
        <v>5</v>
      </c>
      <c r="I136" s="100">
        <v>10</v>
      </c>
      <c r="J136" s="48">
        <f>J139</f>
        <v>4500000000</v>
      </c>
      <c r="K136" s="48">
        <f t="shared" ref="K136:T136" si="72">K139</f>
        <v>0</v>
      </c>
      <c r="L136" s="48">
        <f t="shared" si="72"/>
        <v>0</v>
      </c>
      <c r="M136" s="48">
        <f t="shared" si="72"/>
        <v>4500000000</v>
      </c>
      <c r="N136" s="48">
        <f t="shared" si="72"/>
        <v>0</v>
      </c>
      <c r="O136" s="48">
        <f t="shared" si="72"/>
        <v>4499996000</v>
      </c>
      <c r="P136" s="48">
        <f>P139</f>
        <v>4000</v>
      </c>
      <c r="Q136" s="48">
        <f t="shared" si="72"/>
        <v>4499996000</v>
      </c>
      <c r="R136" s="26">
        <f t="shared" si="60"/>
        <v>0.99999911111111106</v>
      </c>
      <c r="S136" s="101">
        <f t="shared" si="72"/>
        <v>3272783166.6999998</v>
      </c>
      <c r="T136" s="102">
        <f t="shared" si="72"/>
        <v>3272783166.6999998</v>
      </c>
    </row>
    <row r="137" spans="1:20" ht="49.5" customHeight="1" x14ac:dyDescent="0.25">
      <c r="A137" s="95" t="s">
        <v>18</v>
      </c>
      <c r="B137" s="99" t="s">
        <v>90</v>
      </c>
      <c r="C137" s="99" t="s">
        <v>91</v>
      </c>
      <c r="D137" s="99" t="s">
        <v>93</v>
      </c>
      <c r="E137" s="99"/>
      <c r="F137" s="99"/>
      <c r="G137" s="12" t="s">
        <v>220</v>
      </c>
      <c r="H137" s="99" t="s">
        <v>8</v>
      </c>
      <c r="I137" s="100">
        <v>20</v>
      </c>
      <c r="J137" s="48">
        <f>J140</f>
        <v>4000000000</v>
      </c>
      <c r="K137" s="48">
        <f t="shared" ref="K137:T137" si="73">K140</f>
        <v>0</v>
      </c>
      <c r="L137" s="48">
        <f t="shared" si="73"/>
        <v>4000000000</v>
      </c>
      <c r="M137" s="48">
        <f>M140+4000000000</f>
        <v>4000000000</v>
      </c>
      <c r="N137" s="48">
        <f t="shared" si="73"/>
        <v>0</v>
      </c>
      <c r="O137" s="48">
        <f t="shared" si="73"/>
        <v>0</v>
      </c>
      <c r="P137" s="48">
        <f>P140</f>
        <v>0</v>
      </c>
      <c r="Q137" s="101">
        <f t="shared" si="73"/>
        <v>0</v>
      </c>
      <c r="R137" s="26">
        <f t="shared" si="60"/>
        <v>0</v>
      </c>
      <c r="S137" s="101">
        <f t="shared" si="73"/>
        <v>0</v>
      </c>
      <c r="T137" s="102">
        <f t="shared" si="73"/>
        <v>0</v>
      </c>
    </row>
    <row r="138" spans="1:20" ht="49.5" customHeight="1" x14ac:dyDescent="0.25">
      <c r="A138" s="95" t="s">
        <v>18</v>
      </c>
      <c r="B138" s="99" t="s">
        <v>90</v>
      </c>
      <c r="C138" s="99" t="s">
        <v>91</v>
      </c>
      <c r="D138" s="99" t="s">
        <v>93</v>
      </c>
      <c r="E138" s="99"/>
      <c r="F138" s="99"/>
      <c r="G138" s="12" t="s">
        <v>220</v>
      </c>
      <c r="H138" s="99" t="s">
        <v>8</v>
      </c>
      <c r="I138" s="100">
        <v>21</v>
      </c>
      <c r="J138" s="48">
        <f>J141</f>
        <v>24160000</v>
      </c>
      <c r="K138" s="48">
        <f t="shared" ref="K138:T138" si="74">K141</f>
        <v>0</v>
      </c>
      <c r="L138" s="48">
        <f t="shared" si="74"/>
        <v>0</v>
      </c>
      <c r="M138" s="48">
        <f t="shared" si="74"/>
        <v>24160000</v>
      </c>
      <c r="N138" s="48">
        <f t="shared" si="74"/>
        <v>0</v>
      </c>
      <c r="O138" s="48">
        <f t="shared" si="74"/>
        <v>24160000</v>
      </c>
      <c r="P138" s="48">
        <f>P141</f>
        <v>0</v>
      </c>
      <c r="Q138" s="101">
        <f t="shared" si="74"/>
        <v>24160000</v>
      </c>
      <c r="R138" s="26">
        <f t="shared" si="60"/>
        <v>1</v>
      </c>
      <c r="S138" s="101">
        <f t="shared" si="74"/>
        <v>24160000</v>
      </c>
      <c r="T138" s="102">
        <f t="shared" si="74"/>
        <v>24160000</v>
      </c>
    </row>
    <row r="139" spans="1:20" ht="33.75" customHeight="1" x14ac:dyDescent="0.25">
      <c r="A139" s="94" t="s">
        <v>18</v>
      </c>
      <c r="B139" s="56" t="s">
        <v>90</v>
      </c>
      <c r="C139" s="56" t="s">
        <v>91</v>
      </c>
      <c r="D139" s="56" t="s">
        <v>93</v>
      </c>
      <c r="E139" s="56" t="s">
        <v>152</v>
      </c>
      <c r="F139" s="56" t="s">
        <v>162</v>
      </c>
      <c r="G139" s="23" t="s">
        <v>190</v>
      </c>
      <c r="H139" s="56" t="s">
        <v>5</v>
      </c>
      <c r="I139" s="57">
        <v>10</v>
      </c>
      <c r="J139" s="58">
        <v>4500000000</v>
      </c>
      <c r="K139" s="58">
        <v>0</v>
      </c>
      <c r="L139" s="44">
        <v>0</v>
      </c>
      <c r="M139" s="44">
        <f t="shared" si="69"/>
        <v>4500000000</v>
      </c>
      <c r="N139" s="44">
        <v>0</v>
      </c>
      <c r="O139" s="44">
        <v>4499996000</v>
      </c>
      <c r="P139" s="44">
        <f t="shared" si="66"/>
        <v>4000</v>
      </c>
      <c r="Q139" s="58">
        <v>4499996000</v>
      </c>
      <c r="R139" s="25">
        <f t="shared" si="60"/>
        <v>0.99999911111111106</v>
      </c>
      <c r="S139" s="58">
        <v>3272783166.6999998</v>
      </c>
      <c r="T139" s="59">
        <v>3272783166.6999998</v>
      </c>
    </row>
    <row r="140" spans="1:20" ht="41.25" customHeight="1" x14ac:dyDescent="0.25">
      <c r="A140" s="94" t="s">
        <v>18</v>
      </c>
      <c r="B140" s="56" t="s">
        <v>90</v>
      </c>
      <c r="C140" s="56" t="s">
        <v>91</v>
      </c>
      <c r="D140" s="56" t="s">
        <v>93</v>
      </c>
      <c r="E140" s="56" t="s">
        <v>152</v>
      </c>
      <c r="F140" s="56" t="s">
        <v>163</v>
      </c>
      <c r="G140" s="23" t="s">
        <v>191</v>
      </c>
      <c r="H140" s="56" t="s">
        <v>8</v>
      </c>
      <c r="I140" s="57">
        <v>20</v>
      </c>
      <c r="J140" s="58">
        <v>4000000000</v>
      </c>
      <c r="K140" s="58">
        <v>0</v>
      </c>
      <c r="L140" s="44">
        <v>4000000000</v>
      </c>
      <c r="M140" s="44">
        <f t="shared" si="69"/>
        <v>0</v>
      </c>
      <c r="N140" s="44">
        <v>0</v>
      </c>
      <c r="O140" s="44">
        <v>0</v>
      </c>
      <c r="P140" s="44">
        <f t="shared" si="66"/>
        <v>0</v>
      </c>
      <c r="Q140" s="58">
        <v>0</v>
      </c>
      <c r="R140" s="25">
        <f t="shared" si="60"/>
        <v>0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90</v>
      </c>
      <c r="C141" s="56" t="s">
        <v>91</v>
      </c>
      <c r="D141" s="56" t="s">
        <v>93</v>
      </c>
      <c r="E141" s="56" t="s">
        <v>152</v>
      </c>
      <c r="F141" s="56" t="s">
        <v>163</v>
      </c>
      <c r="G141" s="23" t="s">
        <v>191</v>
      </c>
      <c r="H141" s="56" t="s">
        <v>8</v>
      </c>
      <c r="I141" s="57">
        <v>21</v>
      </c>
      <c r="J141" s="58">
        <v>24160000</v>
      </c>
      <c r="K141" s="58">
        <v>0</v>
      </c>
      <c r="L141" s="44">
        <v>0</v>
      </c>
      <c r="M141" s="44">
        <f t="shared" si="69"/>
        <v>24160000</v>
      </c>
      <c r="N141" s="44">
        <v>0</v>
      </c>
      <c r="O141" s="44">
        <v>24160000</v>
      </c>
      <c r="P141" s="44">
        <f t="shared" si="66"/>
        <v>0</v>
      </c>
      <c r="Q141" s="58">
        <v>24160000</v>
      </c>
      <c r="R141" s="25">
        <f t="shared" si="60"/>
        <v>1</v>
      </c>
      <c r="S141" s="58">
        <v>24160000</v>
      </c>
      <c r="T141" s="59">
        <v>24160000</v>
      </c>
    </row>
    <row r="142" spans="1:20" ht="51.75" customHeight="1" x14ac:dyDescent="0.25">
      <c r="A142" s="95" t="s">
        <v>18</v>
      </c>
      <c r="B142" s="99" t="s">
        <v>90</v>
      </c>
      <c r="C142" s="99" t="s">
        <v>91</v>
      </c>
      <c r="D142" s="99" t="s">
        <v>94</v>
      </c>
      <c r="E142" s="99"/>
      <c r="F142" s="99"/>
      <c r="G142" s="12" t="s">
        <v>221</v>
      </c>
      <c r="H142" s="99" t="s">
        <v>5</v>
      </c>
      <c r="I142" s="100">
        <v>10</v>
      </c>
      <c r="J142" s="101">
        <f>J143+J144+J145</f>
        <v>4360000000</v>
      </c>
      <c r="K142" s="101">
        <f>K143+K144+K145</f>
        <v>680433130</v>
      </c>
      <c r="L142" s="48">
        <f>L143+L144+L145</f>
        <v>680433130</v>
      </c>
      <c r="M142" s="48">
        <f t="shared" ref="M142:T142" si="75">M143+M144+M145</f>
        <v>4360000000</v>
      </c>
      <c r="N142" s="48">
        <f t="shared" si="75"/>
        <v>0</v>
      </c>
      <c r="O142" s="48">
        <f t="shared" si="75"/>
        <v>4358089000</v>
      </c>
      <c r="P142" s="48">
        <f>P143+P144+P145</f>
        <v>1911000</v>
      </c>
      <c r="Q142" s="101">
        <f t="shared" si="75"/>
        <v>4358089000</v>
      </c>
      <c r="R142" s="26">
        <f t="shared" si="60"/>
        <v>0.99956169724770638</v>
      </c>
      <c r="S142" s="101">
        <f t="shared" si="75"/>
        <v>2016780735</v>
      </c>
      <c r="T142" s="102">
        <f t="shared" si="75"/>
        <v>2016780735</v>
      </c>
    </row>
    <row r="143" spans="1:20" ht="58.5" customHeight="1" x14ac:dyDescent="0.25">
      <c r="A143" s="94" t="s">
        <v>18</v>
      </c>
      <c r="B143" s="56" t="s">
        <v>90</v>
      </c>
      <c r="C143" s="56" t="s">
        <v>91</v>
      </c>
      <c r="D143" s="56" t="s">
        <v>94</v>
      </c>
      <c r="E143" s="56" t="s">
        <v>154</v>
      </c>
      <c r="F143" s="56" t="s">
        <v>169</v>
      </c>
      <c r="G143" s="23" t="s">
        <v>192</v>
      </c>
      <c r="H143" s="56" t="s">
        <v>5</v>
      </c>
      <c r="I143" s="57">
        <v>10</v>
      </c>
      <c r="J143" s="44">
        <v>2280000000</v>
      </c>
      <c r="K143" s="44">
        <v>680433130</v>
      </c>
      <c r="L143" s="44">
        <v>0</v>
      </c>
      <c r="M143" s="44">
        <f t="shared" si="69"/>
        <v>2960433130</v>
      </c>
      <c r="N143" s="44">
        <v>0</v>
      </c>
      <c r="O143" s="44">
        <v>2958522130</v>
      </c>
      <c r="P143" s="44">
        <f t="shared" si="66"/>
        <v>1911000</v>
      </c>
      <c r="Q143" s="58">
        <v>2958522130</v>
      </c>
      <c r="R143" s="25">
        <f t="shared" si="60"/>
        <v>0.99935448634842161</v>
      </c>
      <c r="S143" s="58">
        <v>1102772412</v>
      </c>
      <c r="T143" s="59">
        <v>1102772412</v>
      </c>
    </row>
    <row r="144" spans="1:20" ht="57.75" customHeight="1" x14ac:dyDescent="0.25">
      <c r="A144" s="94" t="s">
        <v>18</v>
      </c>
      <c r="B144" s="56" t="s">
        <v>90</v>
      </c>
      <c r="C144" s="56" t="s">
        <v>91</v>
      </c>
      <c r="D144" s="56" t="s">
        <v>94</v>
      </c>
      <c r="E144" s="56" t="s">
        <v>154</v>
      </c>
      <c r="F144" s="56" t="s">
        <v>170</v>
      </c>
      <c r="G144" s="23" t="s">
        <v>193</v>
      </c>
      <c r="H144" s="56" t="s">
        <v>5</v>
      </c>
      <c r="I144" s="57">
        <v>10</v>
      </c>
      <c r="J144" s="44">
        <v>1500000000</v>
      </c>
      <c r="K144" s="44">
        <v>0</v>
      </c>
      <c r="L144" s="44">
        <v>100433130</v>
      </c>
      <c r="M144" s="44">
        <f t="shared" si="69"/>
        <v>1399566870</v>
      </c>
      <c r="N144" s="44">
        <v>0</v>
      </c>
      <c r="O144" s="44">
        <v>1399566870</v>
      </c>
      <c r="P144" s="44">
        <f t="shared" ref="P144:P145" si="76">+M144-O144-N144</f>
        <v>0</v>
      </c>
      <c r="Q144" s="58">
        <v>1399566870</v>
      </c>
      <c r="R144" s="25">
        <f t="shared" si="60"/>
        <v>1</v>
      </c>
      <c r="S144" s="58">
        <v>914008323</v>
      </c>
      <c r="T144" s="59">
        <v>914008323</v>
      </c>
    </row>
    <row r="145" spans="1:20" ht="48" customHeight="1" x14ac:dyDescent="0.25">
      <c r="A145" s="94" t="s">
        <v>18</v>
      </c>
      <c r="B145" s="56" t="s">
        <v>90</v>
      </c>
      <c r="C145" s="56" t="s">
        <v>91</v>
      </c>
      <c r="D145" s="56" t="s">
        <v>94</v>
      </c>
      <c r="E145" s="56" t="s">
        <v>154</v>
      </c>
      <c r="F145" s="56" t="s">
        <v>171</v>
      </c>
      <c r="G145" s="23" t="s">
        <v>194</v>
      </c>
      <c r="H145" s="56" t="s">
        <v>5</v>
      </c>
      <c r="I145" s="57">
        <v>10</v>
      </c>
      <c r="J145" s="44">
        <v>580000000</v>
      </c>
      <c r="K145" s="44">
        <v>0</v>
      </c>
      <c r="L145" s="44">
        <v>580000000</v>
      </c>
      <c r="M145" s="44">
        <f t="shared" si="69"/>
        <v>0</v>
      </c>
      <c r="N145" s="44">
        <v>0</v>
      </c>
      <c r="O145" s="44">
        <v>0</v>
      </c>
      <c r="P145" s="44">
        <f t="shared" si="76"/>
        <v>0</v>
      </c>
      <c r="Q145" s="58">
        <v>0</v>
      </c>
      <c r="R145" s="25">
        <f t="shared" si="60"/>
        <v>0</v>
      </c>
      <c r="S145" s="58">
        <v>0</v>
      </c>
      <c r="T145" s="59">
        <v>0</v>
      </c>
    </row>
    <row r="146" spans="1:20" ht="46.5" customHeight="1" x14ac:dyDescent="0.25">
      <c r="A146" s="95" t="s">
        <v>18</v>
      </c>
      <c r="B146" s="99" t="s">
        <v>90</v>
      </c>
      <c r="C146" s="99" t="s">
        <v>91</v>
      </c>
      <c r="D146" s="99" t="s">
        <v>95</v>
      </c>
      <c r="E146" s="99"/>
      <c r="F146" s="99"/>
      <c r="G146" s="12" t="s">
        <v>222</v>
      </c>
      <c r="H146" s="99" t="s">
        <v>5</v>
      </c>
      <c r="I146" s="100">
        <v>11</v>
      </c>
      <c r="J146" s="101">
        <f>J148+J149</f>
        <v>9015000000</v>
      </c>
      <c r="K146" s="101"/>
      <c r="L146" s="48">
        <f t="shared" ref="L146:T146" si="77">L148+L149</f>
        <v>170206055</v>
      </c>
      <c r="M146" s="48">
        <f>M148+M149+170206055</f>
        <v>9015000000</v>
      </c>
      <c r="N146" s="48">
        <f t="shared" si="77"/>
        <v>0</v>
      </c>
      <c r="O146" s="48">
        <f>O148+O149</f>
        <v>8844793945</v>
      </c>
      <c r="P146" s="48">
        <f>P148+P149+170206055</f>
        <v>170206055</v>
      </c>
      <c r="Q146" s="101">
        <f t="shared" si="77"/>
        <v>8111620883</v>
      </c>
      <c r="R146" s="26">
        <f t="shared" si="60"/>
        <v>0.89979155662784249</v>
      </c>
      <c r="S146" s="101">
        <f t="shared" si="77"/>
        <v>329299199.87</v>
      </c>
      <c r="T146" s="102">
        <f t="shared" si="77"/>
        <v>329299199.87</v>
      </c>
    </row>
    <row r="147" spans="1:20" ht="46.5" customHeight="1" x14ac:dyDescent="0.25">
      <c r="A147" s="95" t="s">
        <v>18</v>
      </c>
      <c r="B147" s="99" t="s">
        <v>90</v>
      </c>
      <c r="C147" s="99" t="s">
        <v>91</v>
      </c>
      <c r="D147" s="99" t="s">
        <v>95</v>
      </c>
      <c r="E147" s="99"/>
      <c r="F147" s="99"/>
      <c r="G147" s="12" t="s">
        <v>222</v>
      </c>
      <c r="H147" s="99" t="s">
        <v>5</v>
      </c>
      <c r="I147" s="100">
        <v>21</v>
      </c>
      <c r="J147" s="101">
        <f>J150+J151</f>
        <v>2884000000</v>
      </c>
      <c r="K147" s="101">
        <f t="shared" ref="K147:T147" si="78">K150+K151</f>
        <v>0</v>
      </c>
      <c r="L147" s="48">
        <f t="shared" si="78"/>
        <v>0</v>
      </c>
      <c r="M147" s="48">
        <f t="shared" si="78"/>
        <v>2884000000</v>
      </c>
      <c r="N147" s="48">
        <f t="shared" si="78"/>
        <v>0</v>
      </c>
      <c r="O147" s="48">
        <f t="shared" si="78"/>
        <v>2880007079.0999999</v>
      </c>
      <c r="P147" s="48">
        <f t="shared" si="78"/>
        <v>3992920.9000000954</v>
      </c>
      <c r="Q147" s="101">
        <f t="shared" si="78"/>
        <v>2826693694.0999999</v>
      </c>
      <c r="R147" s="26">
        <f t="shared" si="60"/>
        <v>0.98012957493065189</v>
      </c>
      <c r="S147" s="101">
        <f t="shared" si="78"/>
        <v>1451366127.0999999</v>
      </c>
      <c r="T147" s="102">
        <f t="shared" si="78"/>
        <v>1451366127.0999999</v>
      </c>
    </row>
    <row r="148" spans="1:20" ht="46.5" customHeight="1" x14ac:dyDescent="0.25">
      <c r="A148" s="94" t="s">
        <v>18</v>
      </c>
      <c r="B148" s="56" t="s">
        <v>90</v>
      </c>
      <c r="C148" s="56" t="s">
        <v>91</v>
      </c>
      <c r="D148" s="56" t="s">
        <v>95</v>
      </c>
      <c r="E148" s="56" t="s">
        <v>152</v>
      </c>
      <c r="F148" s="56" t="s">
        <v>172</v>
      </c>
      <c r="G148" s="23" t="s">
        <v>195</v>
      </c>
      <c r="H148" s="56" t="s">
        <v>5</v>
      </c>
      <c r="I148" s="57">
        <v>11</v>
      </c>
      <c r="J148" s="58">
        <v>3965000000</v>
      </c>
      <c r="K148" s="58">
        <v>0</v>
      </c>
      <c r="L148" s="44">
        <v>24807983.57</v>
      </c>
      <c r="M148" s="44">
        <f>J148+K148-L148</f>
        <v>3940192016.4299998</v>
      </c>
      <c r="N148" s="44">
        <v>0</v>
      </c>
      <c r="O148" s="44">
        <v>3940192016.4299998</v>
      </c>
      <c r="P148" s="44">
        <f>+M148-O148-N148</f>
        <v>0</v>
      </c>
      <c r="Q148" s="58">
        <v>3671404784.4299998</v>
      </c>
      <c r="R148" s="25">
        <f t="shared" si="60"/>
        <v>0.93178321490952765</v>
      </c>
      <c r="S148" s="58">
        <v>298075404.87</v>
      </c>
      <c r="T148" s="59">
        <v>298075404.87</v>
      </c>
    </row>
    <row r="149" spans="1:20" ht="41.25" customHeight="1" x14ac:dyDescent="0.25">
      <c r="A149" s="94" t="s">
        <v>18</v>
      </c>
      <c r="B149" s="56" t="s">
        <v>90</v>
      </c>
      <c r="C149" s="56" t="s">
        <v>91</v>
      </c>
      <c r="D149" s="56" t="s">
        <v>95</v>
      </c>
      <c r="E149" s="56" t="s">
        <v>152</v>
      </c>
      <c r="F149" s="56" t="s">
        <v>173</v>
      </c>
      <c r="G149" s="23" t="s">
        <v>196</v>
      </c>
      <c r="H149" s="56" t="s">
        <v>5</v>
      </c>
      <c r="I149" s="57">
        <v>11</v>
      </c>
      <c r="J149" s="44">
        <v>5050000000</v>
      </c>
      <c r="K149" s="44">
        <v>0</v>
      </c>
      <c r="L149" s="44">
        <v>145398071.43000001</v>
      </c>
      <c r="M149" s="44">
        <f>J149+K149-L149</f>
        <v>4904601928.5699997</v>
      </c>
      <c r="N149" s="44">
        <v>0</v>
      </c>
      <c r="O149" s="44">
        <v>4904601928.5699997</v>
      </c>
      <c r="P149" s="44">
        <f>+M149-O149-N149</f>
        <v>0</v>
      </c>
      <c r="Q149" s="58">
        <v>4440216098.5699997</v>
      </c>
      <c r="R149" s="25">
        <f t="shared" si="60"/>
        <v>0.9053163056322906</v>
      </c>
      <c r="S149" s="58">
        <v>31223795</v>
      </c>
      <c r="T149" s="59">
        <v>31223795</v>
      </c>
    </row>
    <row r="150" spans="1:20" ht="41.25" customHeight="1" x14ac:dyDescent="0.25">
      <c r="A150" s="94" t="s">
        <v>18</v>
      </c>
      <c r="B150" s="56" t="s">
        <v>90</v>
      </c>
      <c r="C150" s="56" t="s">
        <v>91</v>
      </c>
      <c r="D150" s="56" t="s">
        <v>95</v>
      </c>
      <c r="E150" s="56" t="s">
        <v>152</v>
      </c>
      <c r="F150" s="56" t="s">
        <v>173</v>
      </c>
      <c r="G150" s="23" t="s">
        <v>196</v>
      </c>
      <c r="H150" s="56" t="s">
        <v>8</v>
      </c>
      <c r="I150" s="57">
        <v>21</v>
      </c>
      <c r="J150" s="44">
        <v>1584000000</v>
      </c>
      <c r="K150" s="44">
        <v>0</v>
      </c>
      <c r="L150" s="44">
        <v>0</v>
      </c>
      <c r="M150" s="44">
        <f t="shared" si="69"/>
        <v>1584000000</v>
      </c>
      <c r="N150" s="44">
        <v>0</v>
      </c>
      <c r="O150" s="44">
        <v>1583999999.0999999</v>
      </c>
      <c r="P150" s="44">
        <f t="shared" ref="P150" si="79">+M150-O150-N150</f>
        <v>0.90000009536743164</v>
      </c>
      <c r="Q150" s="58">
        <v>1583999999.0999999</v>
      </c>
      <c r="R150" s="25">
        <f t="shared" si="60"/>
        <v>0.99999999943181817</v>
      </c>
      <c r="S150" s="58">
        <v>557928978.10000002</v>
      </c>
      <c r="T150" s="59">
        <v>557928978.10000002</v>
      </c>
    </row>
    <row r="151" spans="1:20" ht="41.25" customHeight="1" x14ac:dyDescent="0.25">
      <c r="A151" s="94" t="s">
        <v>18</v>
      </c>
      <c r="B151" s="56" t="s">
        <v>90</v>
      </c>
      <c r="C151" s="56" t="s">
        <v>91</v>
      </c>
      <c r="D151" s="56" t="s">
        <v>95</v>
      </c>
      <c r="E151" s="56" t="s">
        <v>152</v>
      </c>
      <c r="F151" s="56" t="s">
        <v>172</v>
      </c>
      <c r="G151" s="23" t="s">
        <v>195</v>
      </c>
      <c r="H151" s="56" t="s">
        <v>8</v>
      </c>
      <c r="I151" s="57">
        <v>21</v>
      </c>
      <c r="J151" s="44">
        <v>1300000000</v>
      </c>
      <c r="K151" s="44">
        <v>0</v>
      </c>
      <c r="L151" s="44">
        <v>0</v>
      </c>
      <c r="M151" s="44">
        <f t="shared" si="69"/>
        <v>1300000000</v>
      </c>
      <c r="N151" s="44">
        <v>0</v>
      </c>
      <c r="O151" s="44">
        <v>1296007080</v>
      </c>
      <c r="P151" s="44">
        <f t="shared" ref="P151" si="80">+M151-O151-N151</f>
        <v>3992920</v>
      </c>
      <c r="Q151" s="58">
        <v>1242693695</v>
      </c>
      <c r="R151" s="25">
        <f t="shared" si="60"/>
        <v>0.95591822692307693</v>
      </c>
      <c r="S151" s="59">
        <v>893437149</v>
      </c>
      <c r="T151" s="59">
        <v>893437149</v>
      </c>
    </row>
    <row r="152" spans="1:20" s="103" customFormat="1" ht="41.25" customHeight="1" x14ac:dyDescent="0.25">
      <c r="A152" s="95" t="s">
        <v>18</v>
      </c>
      <c r="B152" s="99" t="s">
        <v>90</v>
      </c>
      <c r="C152" s="99" t="s">
        <v>91</v>
      </c>
      <c r="D152" s="99" t="s">
        <v>96</v>
      </c>
      <c r="E152" s="99"/>
      <c r="F152" s="99"/>
      <c r="G152" s="12" t="s">
        <v>240</v>
      </c>
      <c r="H152" s="99" t="s">
        <v>5</v>
      </c>
      <c r="I152" s="100">
        <v>10</v>
      </c>
      <c r="J152" s="48">
        <f>J153+J154+J155</f>
        <v>1300000000</v>
      </c>
      <c r="K152" s="48">
        <f>K153+K154+K155</f>
        <v>50000000</v>
      </c>
      <c r="L152" s="48">
        <f t="shared" ref="L152:T152" si="81">L153+L154+L155</f>
        <v>50000000</v>
      </c>
      <c r="M152" s="48">
        <f t="shared" si="81"/>
        <v>1300000000</v>
      </c>
      <c r="N152" s="48">
        <f t="shared" si="81"/>
        <v>900000000</v>
      </c>
      <c r="O152" s="48">
        <f t="shared" si="81"/>
        <v>399902902</v>
      </c>
      <c r="P152" s="48">
        <f>P153+P154+P155</f>
        <v>97098</v>
      </c>
      <c r="Q152" s="101">
        <f t="shared" si="81"/>
        <v>89923795</v>
      </c>
      <c r="R152" s="26">
        <f t="shared" si="60"/>
        <v>0.22480948749999999</v>
      </c>
      <c r="S152" s="101">
        <f t="shared" si="81"/>
        <v>52896350</v>
      </c>
      <c r="T152" s="102">
        <f t="shared" si="81"/>
        <v>52896350</v>
      </c>
    </row>
    <row r="153" spans="1:20" s="47" customFormat="1" ht="55.5" customHeight="1" x14ac:dyDescent="0.25">
      <c r="A153" s="94" t="s">
        <v>18</v>
      </c>
      <c r="B153" s="56" t="s">
        <v>90</v>
      </c>
      <c r="C153" s="56" t="s">
        <v>91</v>
      </c>
      <c r="D153" s="56" t="s">
        <v>96</v>
      </c>
      <c r="E153" s="56" t="s">
        <v>152</v>
      </c>
      <c r="F153" s="56" t="s">
        <v>174</v>
      </c>
      <c r="G153" s="23" t="s">
        <v>197</v>
      </c>
      <c r="H153" s="56" t="s">
        <v>5</v>
      </c>
      <c r="I153" s="57">
        <v>10</v>
      </c>
      <c r="J153" s="58">
        <v>437500000</v>
      </c>
      <c r="K153" s="58">
        <v>0</v>
      </c>
      <c r="L153" s="44">
        <v>50000000</v>
      </c>
      <c r="M153" s="44">
        <f t="shared" si="69"/>
        <v>387500000</v>
      </c>
      <c r="N153" s="44">
        <v>387500000</v>
      </c>
      <c r="O153" s="44">
        <v>0</v>
      </c>
      <c r="P153" s="44">
        <f t="shared" si="66"/>
        <v>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8" customHeight="1" x14ac:dyDescent="0.25">
      <c r="A154" s="94" t="s">
        <v>18</v>
      </c>
      <c r="B154" s="56" t="s">
        <v>90</v>
      </c>
      <c r="C154" s="56" t="s">
        <v>91</v>
      </c>
      <c r="D154" s="56" t="s">
        <v>96</v>
      </c>
      <c r="E154" s="56" t="s">
        <v>152</v>
      </c>
      <c r="F154" s="56" t="s">
        <v>175</v>
      </c>
      <c r="G154" s="23" t="s">
        <v>198</v>
      </c>
      <c r="H154" s="56" t="s">
        <v>5</v>
      </c>
      <c r="I154" s="57">
        <v>10</v>
      </c>
      <c r="J154" s="58">
        <v>700000000</v>
      </c>
      <c r="K154" s="58">
        <v>50000000</v>
      </c>
      <c r="L154" s="44">
        <v>0</v>
      </c>
      <c r="M154" s="44">
        <f t="shared" si="69"/>
        <v>750000000</v>
      </c>
      <c r="N154" s="44">
        <v>350000000</v>
      </c>
      <c r="O154" s="44">
        <v>399902902</v>
      </c>
      <c r="P154" s="44">
        <f t="shared" ref="P154:P155" si="82">+M154-O154-N154</f>
        <v>97098</v>
      </c>
      <c r="Q154" s="58">
        <v>89923795</v>
      </c>
      <c r="R154" s="25">
        <f t="shared" si="60"/>
        <v>0.22480948749999999</v>
      </c>
      <c r="S154" s="58">
        <v>52896350</v>
      </c>
      <c r="T154" s="59">
        <v>52896350</v>
      </c>
    </row>
    <row r="155" spans="1:20" s="47" customFormat="1" ht="42.75" customHeight="1" x14ac:dyDescent="0.25">
      <c r="A155" s="94" t="s">
        <v>18</v>
      </c>
      <c r="B155" s="56" t="s">
        <v>90</v>
      </c>
      <c r="C155" s="56" t="s">
        <v>91</v>
      </c>
      <c r="D155" s="56" t="s">
        <v>96</v>
      </c>
      <c r="E155" s="56" t="s">
        <v>152</v>
      </c>
      <c r="F155" s="56" t="s">
        <v>176</v>
      </c>
      <c r="G155" s="23" t="s">
        <v>199</v>
      </c>
      <c r="H155" s="56" t="s">
        <v>5</v>
      </c>
      <c r="I155" s="57">
        <v>10</v>
      </c>
      <c r="J155" s="58">
        <v>162500000</v>
      </c>
      <c r="K155" s="58">
        <v>0</v>
      </c>
      <c r="L155" s="44">
        <v>0</v>
      </c>
      <c r="M155" s="44">
        <f t="shared" si="69"/>
        <v>162500000</v>
      </c>
      <c r="N155" s="44">
        <v>162500000</v>
      </c>
      <c r="O155" s="44">
        <v>0</v>
      </c>
      <c r="P155" s="44">
        <f t="shared" si="82"/>
        <v>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2.75" customHeight="1" x14ac:dyDescent="0.25">
      <c r="A156" s="95" t="s">
        <v>18</v>
      </c>
      <c r="B156" s="99" t="s">
        <v>90</v>
      </c>
      <c r="C156" s="99" t="s">
        <v>91</v>
      </c>
      <c r="D156" s="99">
        <v>16</v>
      </c>
      <c r="E156" s="99"/>
      <c r="F156" s="99"/>
      <c r="G156" s="12" t="s">
        <v>223</v>
      </c>
      <c r="H156" s="56" t="s">
        <v>5</v>
      </c>
      <c r="I156" s="57">
        <v>10</v>
      </c>
      <c r="J156" s="101">
        <f>J157+J158+J159+J160</f>
        <v>20000000000</v>
      </c>
      <c r="K156" s="101">
        <f t="shared" ref="K156:T156" si="83">K157+K158+K159+K160</f>
        <v>0</v>
      </c>
      <c r="L156" s="48">
        <f t="shared" si="83"/>
        <v>407902903</v>
      </c>
      <c r="M156" s="48">
        <f>M157+M158+M159+M160+407902903</f>
        <v>20000000000</v>
      </c>
      <c r="N156" s="48">
        <f t="shared" si="83"/>
        <v>5551302830</v>
      </c>
      <c r="O156" s="48">
        <f t="shared" si="83"/>
        <v>13715497981.349998</v>
      </c>
      <c r="P156" s="48">
        <f>P157+P158+P159+P160+407902903</f>
        <v>733199188.65000057</v>
      </c>
      <c r="Q156" s="101">
        <f t="shared" si="83"/>
        <v>10792417517.51</v>
      </c>
      <c r="R156" s="26">
        <f t="shared" si="60"/>
        <v>0.74694745073060453</v>
      </c>
      <c r="S156" s="101">
        <f t="shared" si="83"/>
        <v>529932132.39999998</v>
      </c>
      <c r="T156" s="102">
        <f t="shared" si="83"/>
        <v>529932132.39999998</v>
      </c>
    </row>
    <row r="157" spans="1:20" s="47" customFormat="1" ht="48" customHeight="1" x14ac:dyDescent="0.25">
      <c r="A157" s="94" t="s">
        <v>18</v>
      </c>
      <c r="B157" s="56" t="s">
        <v>90</v>
      </c>
      <c r="C157" s="56" t="s">
        <v>91</v>
      </c>
      <c r="D157" s="56">
        <v>16</v>
      </c>
      <c r="E157" s="56" t="s">
        <v>154</v>
      </c>
      <c r="F157" s="56" t="s">
        <v>164</v>
      </c>
      <c r="G157" s="23" t="s">
        <v>200</v>
      </c>
      <c r="H157" s="56" t="s">
        <v>5</v>
      </c>
      <c r="I157" s="57">
        <v>10</v>
      </c>
      <c r="J157" s="58">
        <v>8500000000</v>
      </c>
      <c r="K157" s="58">
        <v>0</v>
      </c>
      <c r="L157" s="44">
        <v>3.48</v>
      </c>
      <c r="M157" s="44">
        <f t="shared" si="69"/>
        <v>8499999996.5200005</v>
      </c>
      <c r="N157" s="44">
        <v>0</v>
      </c>
      <c r="O157" s="44">
        <v>8499999995.6199999</v>
      </c>
      <c r="P157" s="44">
        <f t="shared" si="66"/>
        <v>0.90000057220458984</v>
      </c>
      <c r="Q157" s="58">
        <v>5939367742.6199999</v>
      </c>
      <c r="R157" s="25">
        <f t="shared" si="60"/>
        <v>0.69874914647666431</v>
      </c>
      <c r="S157" s="58">
        <v>50206290.399999999</v>
      </c>
      <c r="T157" s="59">
        <v>50206290.399999999</v>
      </c>
    </row>
    <row r="158" spans="1:20" s="47" customFormat="1" ht="48.75" customHeight="1" x14ac:dyDescent="0.25">
      <c r="A158" s="94" t="s">
        <v>18</v>
      </c>
      <c r="B158" s="56" t="s">
        <v>90</v>
      </c>
      <c r="C158" s="56" t="s">
        <v>91</v>
      </c>
      <c r="D158" s="56">
        <v>16</v>
      </c>
      <c r="E158" s="56" t="s">
        <v>154</v>
      </c>
      <c r="F158" s="56" t="s">
        <v>162</v>
      </c>
      <c r="G158" s="23" t="s">
        <v>201</v>
      </c>
      <c r="H158" s="56" t="s">
        <v>5</v>
      </c>
      <c r="I158" s="57">
        <v>10</v>
      </c>
      <c r="J158" s="58">
        <v>5100000000</v>
      </c>
      <c r="K158" s="58">
        <v>0</v>
      </c>
      <c r="L158" s="44">
        <v>68939093.930000007</v>
      </c>
      <c r="M158" s="44">
        <f t="shared" si="69"/>
        <v>5031060906.0699997</v>
      </c>
      <c r="N158" s="44">
        <v>287591962</v>
      </c>
      <c r="O158" s="44">
        <v>4418172659.3199997</v>
      </c>
      <c r="P158" s="44">
        <f t="shared" ref="P158:P160" si="84">+M158-O158-N158</f>
        <v>325296284.75</v>
      </c>
      <c r="Q158" s="58">
        <v>4147644151.48</v>
      </c>
      <c r="R158" s="25">
        <f t="shared" si="60"/>
        <v>0.87439049362073629</v>
      </c>
      <c r="S158" s="58">
        <v>446855472</v>
      </c>
      <c r="T158" s="59">
        <v>446855472</v>
      </c>
    </row>
    <row r="159" spans="1:20" s="47" customFormat="1" ht="49.5" customHeight="1" x14ac:dyDescent="0.25">
      <c r="A159" s="94" t="s">
        <v>18</v>
      </c>
      <c r="B159" s="56" t="s">
        <v>90</v>
      </c>
      <c r="C159" s="56" t="s">
        <v>91</v>
      </c>
      <c r="D159" s="56">
        <v>16</v>
      </c>
      <c r="E159" s="56" t="s">
        <v>154</v>
      </c>
      <c r="F159" s="56" t="s">
        <v>170</v>
      </c>
      <c r="G159" s="23" t="s">
        <v>202</v>
      </c>
      <c r="H159" s="56" t="s">
        <v>5</v>
      </c>
      <c r="I159" s="57">
        <v>10</v>
      </c>
      <c r="J159" s="58">
        <v>900000000</v>
      </c>
      <c r="K159" s="58">
        <v>0</v>
      </c>
      <c r="L159" s="44">
        <v>270727510</v>
      </c>
      <c r="M159" s="44">
        <f t="shared" si="69"/>
        <v>629272490</v>
      </c>
      <c r="N159" s="44">
        <v>0</v>
      </c>
      <c r="O159" s="44">
        <v>629272490</v>
      </c>
      <c r="P159" s="44">
        <f t="shared" si="84"/>
        <v>0</v>
      </c>
      <c r="Q159" s="58">
        <v>537352787</v>
      </c>
      <c r="R159" s="25">
        <f t="shared" si="60"/>
        <v>0.85392702770146522</v>
      </c>
      <c r="S159" s="58">
        <v>32870370</v>
      </c>
      <c r="T159" s="59">
        <v>32870370</v>
      </c>
    </row>
    <row r="160" spans="1:20" s="47" customFormat="1" ht="49.5" customHeight="1" x14ac:dyDescent="0.25">
      <c r="A160" s="94" t="s">
        <v>18</v>
      </c>
      <c r="B160" s="56" t="s">
        <v>90</v>
      </c>
      <c r="C160" s="56" t="s">
        <v>91</v>
      </c>
      <c r="D160" s="56">
        <v>16</v>
      </c>
      <c r="E160" s="56" t="s">
        <v>154</v>
      </c>
      <c r="F160" s="56" t="s">
        <v>168</v>
      </c>
      <c r="G160" s="23" t="s">
        <v>203</v>
      </c>
      <c r="H160" s="56" t="s">
        <v>5</v>
      </c>
      <c r="I160" s="57">
        <v>10</v>
      </c>
      <c r="J160" s="58">
        <v>5500000000</v>
      </c>
      <c r="K160" s="58">
        <v>0</v>
      </c>
      <c r="L160" s="44">
        <v>68236295.590000004</v>
      </c>
      <c r="M160" s="44">
        <f t="shared" si="69"/>
        <v>5431763704.4099998</v>
      </c>
      <c r="N160" s="44">
        <v>5263710868</v>
      </c>
      <c r="O160" s="44">
        <v>168052836.41</v>
      </c>
      <c r="P160" s="44">
        <f t="shared" si="84"/>
        <v>0</v>
      </c>
      <c r="Q160" s="58">
        <v>168052836.41</v>
      </c>
      <c r="R160" s="25">
        <f t="shared" si="60"/>
        <v>1.0000000000000009</v>
      </c>
      <c r="S160" s="58">
        <v>0</v>
      </c>
      <c r="T160" s="59">
        <v>0</v>
      </c>
    </row>
    <row r="161" spans="1:20" ht="31.5" customHeight="1" x14ac:dyDescent="0.25">
      <c r="A161" s="95" t="s">
        <v>18</v>
      </c>
      <c r="B161" s="11">
        <v>2999</v>
      </c>
      <c r="C161" s="11"/>
      <c r="D161" s="11"/>
      <c r="E161" s="11"/>
      <c r="F161" s="11"/>
      <c r="G161" s="12" t="s">
        <v>104</v>
      </c>
      <c r="H161" s="11" t="s">
        <v>5</v>
      </c>
      <c r="I161" s="13">
        <v>10</v>
      </c>
      <c r="J161" s="14">
        <f>J162</f>
        <v>35340115679</v>
      </c>
      <c r="K161" s="14">
        <f t="shared" ref="K161:Q161" si="85">K162</f>
        <v>2829694476</v>
      </c>
      <c r="L161" s="24">
        <f t="shared" si="85"/>
        <v>7541690345</v>
      </c>
      <c r="M161" s="48">
        <f t="shared" si="85"/>
        <v>35340115679</v>
      </c>
      <c r="N161" s="24">
        <f t="shared" si="85"/>
        <v>1323276263</v>
      </c>
      <c r="O161" s="24">
        <f t="shared" si="85"/>
        <v>29236069146.990002</v>
      </c>
      <c r="P161" s="24">
        <f>P162</f>
        <v>4780770269.0100002</v>
      </c>
      <c r="Q161" s="14">
        <f t="shared" si="85"/>
        <v>19306577106.18</v>
      </c>
      <c r="R161" s="26">
        <f t="shared" si="60"/>
        <v>0.56755940403737359</v>
      </c>
      <c r="S161" s="14">
        <f>S162</f>
        <v>10360148567.66</v>
      </c>
      <c r="T161" s="22">
        <f t="shared" ref="T161" si="86">T162</f>
        <v>10360148567.66</v>
      </c>
    </row>
    <row r="162" spans="1:20" ht="31.5" customHeight="1" x14ac:dyDescent="0.25">
      <c r="A162" s="95" t="s">
        <v>18</v>
      </c>
      <c r="B162" s="11" t="s">
        <v>97</v>
      </c>
      <c r="C162" s="11" t="s">
        <v>91</v>
      </c>
      <c r="D162" s="11"/>
      <c r="E162" s="11"/>
      <c r="F162" s="11"/>
      <c r="G162" s="12" t="s">
        <v>235</v>
      </c>
      <c r="H162" s="11" t="s">
        <v>5</v>
      </c>
      <c r="I162" s="13">
        <v>10</v>
      </c>
      <c r="J162" s="14">
        <f>J163+J165+J167+J169+J172+J175+J177+J179+J181+J183+J186</f>
        <v>35340115679</v>
      </c>
      <c r="K162" s="14">
        <f t="shared" ref="K162:O162" si="87">K163+K165+K167+K169+K172+K175+K177+K179+K181+K183+K186</f>
        <v>2829694476</v>
      </c>
      <c r="L162" s="24">
        <f t="shared" si="87"/>
        <v>7541690345</v>
      </c>
      <c r="M162" s="48">
        <f>M163+M165+M167+M169+M172+M175+M177+M179+M181+M183+M186</f>
        <v>35340115679</v>
      </c>
      <c r="N162" s="24">
        <f t="shared" si="87"/>
        <v>1323276263</v>
      </c>
      <c r="O162" s="24">
        <f t="shared" si="87"/>
        <v>29236069146.990002</v>
      </c>
      <c r="P162" s="24">
        <f>P163+P165+P167+P169+P172+P175+P177+P179+P181+P183+P186</f>
        <v>4780770269.0100002</v>
      </c>
      <c r="Q162" s="14">
        <f>Q163+Q165+Q167+Q169+Q172+Q175+Q177+Q179+Q181+Q183+Q186</f>
        <v>19306577106.18</v>
      </c>
      <c r="R162" s="26">
        <f t="shared" si="60"/>
        <v>0.56755940403737359</v>
      </c>
      <c r="S162" s="14">
        <f>S163+S165+S167+S169+S172+S175+S177+S179+S181+S183+S186</f>
        <v>10360148567.66</v>
      </c>
      <c r="T162" s="22">
        <f>T163+T165+T167+T169+T172+T175+T177+T179+T181+T183+T186</f>
        <v>10360148567.66</v>
      </c>
    </row>
    <row r="163" spans="1:20" ht="31.5" customHeight="1" x14ac:dyDescent="0.25">
      <c r="A163" s="95" t="s">
        <v>18</v>
      </c>
      <c r="B163" s="11" t="s">
        <v>97</v>
      </c>
      <c r="C163" s="11" t="s">
        <v>91</v>
      </c>
      <c r="D163" s="11">
        <v>10</v>
      </c>
      <c r="E163" s="11"/>
      <c r="F163" s="11"/>
      <c r="G163" s="12" t="s">
        <v>224</v>
      </c>
      <c r="H163" s="11" t="s">
        <v>5</v>
      </c>
      <c r="I163" s="13">
        <v>10</v>
      </c>
      <c r="J163" s="14">
        <f>J164</f>
        <v>330000000</v>
      </c>
      <c r="K163" s="14">
        <f t="shared" ref="K163:T163" si="88">K164</f>
        <v>0</v>
      </c>
      <c r="L163" s="24">
        <f t="shared" si="88"/>
        <v>0</v>
      </c>
      <c r="M163" s="48">
        <f t="shared" si="88"/>
        <v>330000000</v>
      </c>
      <c r="N163" s="24">
        <f t="shared" si="88"/>
        <v>314628814</v>
      </c>
      <c r="O163" s="24">
        <f t="shared" si="88"/>
        <v>15371185.779999999</v>
      </c>
      <c r="P163" s="24">
        <f>P164</f>
        <v>0.22000002861022949</v>
      </c>
      <c r="Q163" s="14">
        <f t="shared" si="88"/>
        <v>15371185.779999999</v>
      </c>
      <c r="R163" s="26">
        <f t="shared" si="60"/>
        <v>0.99999998568750648</v>
      </c>
      <c r="S163" s="14">
        <f>S164</f>
        <v>9525757.2599999998</v>
      </c>
      <c r="T163" s="10">
        <f t="shared" si="88"/>
        <v>9525757.2599999998</v>
      </c>
    </row>
    <row r="164" spans="1:20" ht="31.5" customHeight="1" x14ac:dyDescent="0.25">
      <c r="A164" s="94" t="s">
        <v>18</v>
      </c>
      <c r="B164" s="7" t="s">
        <v>97</v>
      </c>
      <c r="C164" s="7" t="s">
        <v>91</v>
      </c>
      <c r="D164" s="7">
        <v>10</v>
      </c>
      <c r="E164" s="7" t="s">
        <v>151</v>
      </c>
      <c r="F164" s="7" t="s">
        <v>179</v>
      </c>
      <c r="G164" s="23" t="s">
        <v>204</v>
      </c>
      <c r="H164" s="7" t="s">
        <v>5</v>
      </c>
      <c r="I164" s="8">
        <v>10</v>
      </c>
      <c r="J164" s="9">
        <v>330000000</v>
      </c>
      <c r="K164" s="9">
        <v>0</v>
      </c>
      <c r="L164" s="27">
        <v>0</v>
      </c>
      <c r="M164" s="44">
        <f>J164+K164-L164</f>
        <v>330000000</v>
      </c>
      <c r="N164" s="27">
        <v>314628814</v>
      </c>
      <c r="O164" s="27">
        <v>15371185.779999999</v>
      </c>
      <c r="P164" s="27">
        <f t="shared" ref="P164:P187" si="89">+M164-O164-N164</f>
        <v>0.22000002861022949</v>
      </c>
      <c r="Q164" s="9">
        <v>15371185.779999999</v>
      </c>
      <c r="R164" s="25">
        <f t="shared" si="60"/>
        <v>0.99999998568750648</v>
      </c>
      <c r="S164" s="9">
        <v>9525757.2599999998</v>
      </c>
      <c r="T164" s="10">
        <v>9525757.2599999998</v>
      </c>
    </row>
    <row r="165" spans="1:20" ht="31.5" customHeight="1" x14ac:dyDescent="0.25">
      <c r="A165" s="95" t="s">
        <v>18</v>
      </c>
      <c r="B165" s="11" t="s">
        <v>97</v>
      </c>
      <c r="C165" s="11" t="s">
        <v>91</v>
      </c>
      <c r="D165" s="11">
        <v>11</v>
      </c>
      <c r="E165" s="11"/>
      <c r="F165" s="11"/>
      <c r="G165" s="12" t="s">
        <v>225</v>
      </c>
      <c r="H165" s="11" t="s">
        <v>5</v>
      </c>
      <c r="I165" s="13">
        <v>10</v>
      </c>
      <c r="J165" s="14">
        <f>J166</f>
        <v>3793000000</v>
      </c>
      <c r="K165" s="14">
        <f t="shared" ref="K165:T165" si="90">K166</f>
        <v>0</v>
      </c>
      <c r="L165" s="24">
        <f t="shared" si="90"/>
        <v>2784473477</v>
      </c>
      <c r="M165" s="48">
        <f t="shared" si="90"/>
        <v>1008526523</v>
      </c>
      <c r="N165" s="24">
        <f t="shared" si="90"/>
        <v>1008526523</v>
      </c>
      <c r="O165" s="24">
        <f t="shared" si="90"/>
        <v>0</v>
      </c>
      <c r="P165" s="24">
        <f t="shared" si="90"/>
        <v>0</v>
      </c>
      <c r="Q165" s="14">
        <f t="shared" si="90"/>
        <v>0</v>
      </c>
      <c r="R165" s="26">
        <f t="shared" si="60"/>
        <v>0</v>
      </c>
      <c r="S165" s="14">
        <f t="shared" si="90"/>
        <v>0</v>
      </c>
      <c r="T165" s="22">
        <f t="shared" si="90"/>
        <v>0</v>
      </c>
    </row>
    <row r="166" spans="1:20" ht="31.5" customHeight="1" x14ac:dyDescent="0.25">
      <c r="A166" s="94" t="s">
        <v>18</v>
      </c>
      <c r="B166" s="7" t="s">
        <v>97</v>
      </c>
      <c r="C166" s="7" t="s">
        <v>91</v>
      </c>
      <c r="D166" s="7">
        <v>11</v>
      </c>
      <c r="E166" s="7" t="s">
        <v>151</v>
      </c>
      <c r="F166" s="7" t="s">
        <v>179</v>
      </c>
      <c r="G166" s="23" t="s">
        <v>205</v>
      </c>
      <c r="H166" s="7" t="s">
        <v>5</v>
      </c>
      <c r="I166" s="8">
        <v>10</v>
      </c>
      <c r="J166" s="9">
        <v>3793000000</v>
      </c>
      <c r="K166" s="9">
        <v>0</v>
      </c>
      <c r="L166" s="27">
        <v>2784473477</v>
      </c>
      <c r="M166" s="44">
        <f t="shared" ref="M166:M187" si="91">J166+K166-L166</f>
        <v>1008526523</v>
      </c>
      <c r="N166" s="27">
        <v>1008526523</v>
      </c>
      <c r="O166" s="27">
        <v>0</v>
      </c>
      <c r="P166" s="27">
        <f t="shared" si="89"/>
        <v>0</v>
      </c>
      <c r="Q166" s="9">
        <v>0</v>
      </c>
      <c r="R166" s="25">
        <f t="shared" si="60"/>
        <v>0</v>
      </c>
      <c r="S166" s="9">
        <v>0</v>
      </c>
      <c r="T166" s="10">
        <v>0</v>
      </c>
    </row>
    <row r="167" spans="1:20" ht="31.5" customHeight="1" x14ac:dyDescent="0.25">
      <c r="A167" s="95" t="s">
        <v>18</v>
      </c>
      <c r="B167" s="11" t="s">
        <v>97</v>
      </c>
      <c r="C167" s="99" t="s">
        <v>91</v>
      </c>
      <c r="D167" s="99" t="s">
        <v>94</v>
      </c>
      <c r="E167" s="11"/>
      <c r="F167" s="11"/>
      <c r="G167" s="12" t="s">
        <v>226</v>
      </c>
      <c r="H167" s="99" t="s">
        <v>5</v>
      </c>
      <c r="I167" s="100">
        <v>10</v>
      </c>
      <c r="J167" s="14">
        <f>J168</f>
        <v>500000000</v>
      </c>
      <c r="K167" s="14">
        <f t="shared" ref="K167:T167" si="92">K168</f>
        <v>0</v>
      </c>
      <c r="L167" s="24">
        <f t="shared" si="92"/>
        <v>0</v>
      </c>
      <c r="M167" s="48">
        <f t="shared" si="92"/>
        <v>500000000</v>
      </c>
      <c r="N167" s="24">
        <f t="shared" si="92"/>
        <v>0</v>
      </c>
      <c r="O167" s="24">
        <f t="shared" si="92"/>
        <v>496595365</v>
      </c>
      <c r="P167" s="24">
        <f>P168</f>
        <v>3404635</v>
      </c>
      <c r="Q167" s="14">
        <f t="shared" si="92"/>
        <v>349978405</v>
      </c>
      <c r="R167" s="26">
        <f t="shared" si="60"/>
        <v>0.69995680999999998</v>
      </c>
      <c r="S167" s="14">
        <f t="shared" si="92"/>
        <v>0</v>
      </c>
      <c r="T167" s="22">
        <f t="shared" si="92"/>
        <v>0</v>
      </c>
    </row>
    <row r="168" spans="1:20" ht="42.75" customHeight="1" x14ac:dyDescent="0.25">
      <c r="A168" s="94" t="s">
        <v>18</v>
      </c>
      <c r="B168" s="7" t="s">
        <v>97</v>
      </c>
      <c r="C168" s="56" t="s">
        <v>91</v>
      </c>
      <c r="D168" s="56" t="s">
        <v>94</v>
      </c>
      <c r="E168" s="56" t="s">
        <v>155</v>
      </c>
      <c r="F168" s="56" t="s">
        <v>180</v>
      </c>
      <c r="G168" s="23" t="s">
        <v>206</v>
      </c>
      <c r="H168" s="56" t="s">
        <v>5</v>
      </c>
      <c r="I168" s="57">
        <v>10</v>
      </c>
      <c r="J168" s="44">
        <v>500000000</v>
      </c>
      <c r="K168" s="44">
        <v>0</v>
      </c>
      <c r="L168" s="44">
        <v>0</v>
      </c>
      <c r="M168" s="44">
        <f t="shared" si="91"/>
        <v>500000000</v>
      </c>
      <c r="N168" s="44">
        <v>0</v>
      </c>
      <c r="O168" s="44">
        <v>496595365</v>
      </c>
      <c r="P168" s="27">
        <f t="shared" si="89"/>
        <v>3404635</v>
      </c>
      <c r="Q168" s="58">
        <v>349978405</v>
      </c>
      <c r="R168" s="25">
        <f t="shared" si="60"/>
        <v>0.69995680999999998</v>
      </c>
      <c r="S168" s="58">
        <v>0</v>
      </c>
      <c r="T168" s="59">
        <v>0</v>
      </c>
    </row>
    <row r="169" spans="1:20" ht="42.75" customHeight="1" x14ac:dyDescent="0.25">
      <c r="A169" s="95" t="s">
        <v>18</v>
      </c>
      <c r="B169" s="99" t="s">
        <v>97</v>
      </c>
      <c r="C169" s="99" t="s">
        <v>91</v>
      </c>
      <c r="D169" s="99" t="s">
        <v>95</v>
      </c>
      <c r="E169" s="99"/>
      <c r="F169" s="99"/>
      <c r="G169" s="12" t="s">
        <v>227</v>
      </c>
      <c r="H169" s="99" t="s">
        <v>5</v>
      </c>
      <c r="I169" s="100">
        <v>10</v>
      </c>
      <c r="J169" s="48">
        <f>J170+J171</f>
        <v>12782494000</v>
      </c>
      <c r="K169" s="48">
        <f t="shared" ref="K169:T169" si="93">K170+K171</f>
        <v>0</v>
      </c>
      <c r="L169" s="48">
        <f t="shared" si="93"/>
        <v>0</v>
      </c>
      <c r="M169" s="48">
        <f t="shared" si="93"/>
        <v>12782494000</v>
      </c>
      <c r="N169" s="48">
        <f t="shared" si="93"/>
        <v>0</v>
      </c>
      <c r="O169" s="48">
        <f t="shared" si="93"/>
        <v>12782445628.280001</v>
      </c>
      <c r="P169" s="24">
        <f>P170+P171</f>
        <v>48371.72000002861</v>
      </c>
      <c r="Q169" s="101">
        <f t="shared" si="93"/>
        <v>11371937106.280001</v>
      </c>
      <c r="R169" s="26">
        <f t="shared" si="60"/>
        <v>0.88964932088213777</v>
      </c>
      <c r="S169" s="101">
        <f t="shared" si="93"/>
        <v>8069228330.29</v>
      </c>
      <c r="T169" s="102">
        <f t="shared" si="93"/>
        <v>8069228330.29</v>
      </c>
    </row>
    <row r="170" spans="1:20" ht="33" customHeight="1" x14ac:dyDescent="0.25">
      <c r="A170" s="94" t="s">
        <v>18</v>
      </c>
      <c r="B170" s="56" t="s">
        <v>97</v>
      </c>
      <c r="C170" s="56" t="s">
        <v>91</v>
      </c>
      <c r="D170" s="56" t="s">
        <v>95</v>
      </c>
      <c r="E170" s="56" t="s">
        <v>155</v>
      </c>
      <c r="F170" s="56" t="s">
        <v>177</v>
      </c>
      <c r="G170" s="23" t="s">
        <v>207</v>
      </c>
      <c r="H170" s="56" t="s">
        <v>5</v>
      </c>
      <c r="I170" s="57">
        <v>10</v>
      </c>
      <c r="J170" s="58">
        <v>390000000</v>
      </c>
      <c r="K170" s="58">
        <v>0</v>
      </c>
      <c r="L170" s="44">
        <v>0</v>
      </c>
      <c r="M170" s="44">
        <f t="shared" si="91"/>
        <v>390000000</v>
      </c>
      <c r="N170" s="44">
        <v>0</v>
      </c>
      <c r="O170" s="44">
        <v>389951628.27999997</v>
      </c>
      <c r="P170" s="27">
        <f t="shared" si="89"/>
        <v>48371.72000002861</v>
      </c>
      <c r="Q170" s="58">
        <v>27089084</v>
      </c>
      <c r="R170" s="25">
        <f t="shared" si="60"/>
        <v>6.945918974358975E-2</v>
      </c>
      <c r="S170" s="58">
        <v>25080958.989999998</v>
      </c>
      <c r="T170" s="59">
        <v>25080958.989999998</v>
      </c>
    </row>
    <row r="171" spans="1:20" ht="47.25" customHeight="1" x14ac:dyDescent="0.25">
      <c r="A171" s="94" t="s">
        <v>18</v>
      </c>
      <c r="B171" s="56" t="s">
        <v>97</v>
      </c>
      <c r="C171" s="56" t="s">
        <v>91</v>
      </c>
      <c r="D171" s="56" t="s">
        <v>95</v>
      </c>
      <c r="E171" s="56" t="s">
        <v>155</v>
      </c>
      <c r="F171" s="56" t="s">
        <v>178</v>
      </c>
      <c r="G171" s="23" t="s">
        <v>208</v>
      </c>
      <c r="H171" s="56" t="s">
        <v>5</v>
      </c>
      <c r="I171" s="57">
        <v>10</v>
      </c>
      <c r="J171" s="58">
        <v>12392494000</v>
      </c>
      <c r="K171" s="58">
        <v>0</v>
      </c>
      <c r="L171" s="44">
        <v>0</v>
      </c>
      <c r="M171" s="44">
        <f t="shared" si="91"/>
        <v>12392494000</v>
      </c>
      <c r="N171" s="44">
        <v>0</v>
      </c>
      <c r="O171" s="44">
        <v>12392494000</v>
      </c>
      <c r="P171" s="27">
        <f t="shared" ref="P171" si="94">+M171-O171-N171</f>
        <v>0</v>
      </c>
      <c r="Q171" s="58">
        <v>11344848022.280001</v>
      </c>
      <c r="R171" s="25">
        <f t="shared" si="60"/>
        <v>0.91546124793604911</v>
      </c>
      <c r="S171" s="58">
        <v>8044147371.3000002</v>
      </c>
      <c r="T171" s="59">
        <v>8044147371.3000002</v>
      </c>
    </row>
    <row r="172" spans="1:20" ht="47.25" customHeight="1" x14ac:dyDescent="0.25">
      <c r="A172" s="95" t="s">
        <v>18</v>
      </c>
      <c r="B172" s="99" t="s">
        <v>97</v>
      </c>
      <c r="C172" s="99" t="s">
        <v>91</v>
      </c>
      <c r="D172" s="99" t="s">
        <v>96</v>
      </c>
      <c r="E172" s="99"/>
      <c r="F172" s="99"/>
      <c r="G172" s="12" t="s">
        <v>228</v>
      </c>
      <c r="H172" s="99" t="s">
        <v>5</v>
      </c>
      <c r="I172" s="100">
        <v>10</v>
      </c>
      <c r="J172" s="101">
        <f>J173+J174</f>
        <v>5000000000</v>
      </c>
      <c r="K172" s="101">
        <f t="shared" ref="K172:T172" si="95">K173+K174</f>
        <v>0</v>
      </c>
      <c r="L172" s="48">
        <f t="shared" si="95"/>
        <v>0</v>
      </c>
      <c r="M172" s="48">
        <f t="shared" si="95"/>
        <v>5000000000</v>
      </c>
      <c r="N172" s="48">
        <f t="shared" si="95"/>
        <v>0</v>
      </c>
      <c r="O172" s="48">
        <f t="shared" si="95"/>
        <v>4983513698.6199999</v>
      </c>
      <c r="P172" s="24">
        <f>P173+P174</f>
        <v>16486301.380000114</v>
      </c>
      <c r="Q172" s="101">
        <f t="shared" si="95"/>
        <v>4862414905.9799995</v>
      </c>
      <c r="R172" s="26">
        <f t="shared" si="60"/>
        <v>0.97248298119599996</v>
      </c>
      <c r="S172" s="101">
        <f t="shared" si="95"/>
        <v>1555754896.23</v>
      </c>
      <c r="T172" s="102">
        <f t="shared" si="95"/>
        <v>1555754896.23</v>
      </c>
    </row>
    <row r="173" spans="1:20" ht="41.25" customHeight="1" x14ac:dyDescent="0.25">
      <c r="A173" s="94" t="s">
        <v>18</v>
      </c>
      <c r="B173" s="56" t="s">
        <v>97</v>
      </c>
      <c r="C173" s="56" t="s">
        <v>91</v>
      </c>
      <c r="D173" s="56" t="s">
        <v>96</v>
      </c>
      <c r="E173" s="56" t="s">
        <v>155</v>
      </c>
      <c r="F173" s="56" t="s">
        <v>181</v>
      </c>
      <c r="G173" s="23" t="s">
        <v>209</v>
      </c>
      <c r="H173" s="56" t="s">
        <v>5</v>
      </c>
      <c r="I173" s="57">
        <v>10</v>
      </c>
      <c r="J173" s="58">
        <v>1100000000</v>
      </c>
      <c r="K173" s="58">
        <v>0</v>
      </c>
      <c r="L173" s="44">
        <v>0</v>
      </c>
      <c r="M173" s="44">
        <f t="shared" si="91"/>
        <v>1100000000</v>
      </c>
      <c r="N173" s="44">
        <v>0</v>
      </c>
      <c r="O173" s="44">
        <v>1099944808</v>
      </c>
      <c r="P173" s="27">
        <f t="shared" si="89"/>
        <v>55192</v>
      </c>
      <c r="Q173" s="58">
        <v>1062744808</v>
      </c>
      <c r="R173" s="25">
        <f t="shared" si="60"/>
        <v>0.96613164363636361</v>
      </c>
      <c r="S173" s="58">
        <v>254086270</v>
      </c>
      <c r="T173" s="59">
        <v>254086270</v>
      </c>
    </row>
    <row r="174" spans="1:20" ht="47.25" customHeight="1" x14ac:dyDescent="0.25">
      <c r="A174" s="94" t="s">
        <v>18</v>
      </c>
      <c r="B174" s="56" t="s">
        <v>97</v>
      </c>
      <c r="C174" s="56" t="s">
        <v>91</v>
      </c>
      <c r="D174" s="56" t="s">
        <v>96</v>
      </c>
      <c r="E174" s="56" t="s">
        <v>155</v>
      </c>
      <c r="F174" s="56" t="s">
        <v>178</v>
      </c>
      <c r="G174" s="23" t="s">
        <v>210</v>
      </c>
      <c r="H174" s="56" t="s">
        <v>5</v>
      </c>
      <c r="I174" s="57">
        <v>10</v>
      </c>
      <c r="J174" s="58">
        <v>3900000000</v>
      </c>
      <c r="K174" s="58">
        <v>0</v>
      </c>
      <c r="L174" s="44">
        <v>0</v>
      </c>
      <c r="M174" s="44">
        <f t="shared" si="91"/>
        <v>3900000000</v>
      </c>
      <c r="N174" s="44">
        <v>0</v>
      </c>
      <c r="O174" s="44">
        <v>3883568890.6199999</v>
      </c>
      <c r="P174" s="27">
        <f t="shared" ref="P174" si="96">+M174-O174-N174</f>
        <v>16431109.380000114</v>
      </c>
      <c r="Q174" s="58">
        <v>3799670097.98</v>
      </c>
      <c r="R174" s="25">
        <f t="shared" si="60"/>
        <v>0.97427438409743594</v>
      </c>
      <c r="S174" s="58">
        <v>1301668626.23</v>
      </c>
      <c r="T174" s="59">
        <v>1301668626.23</v>
      </c>
    </row>
    <row r="175" spans="1:20" ht="47.25" customHeight="1" x14ac:dyDescent="0.25">
      <c r="A175" s="95" t="s">
        <v>18</v>
      </c>
      <c r="B175" s="99" t="s">
        <v>97</v>
      </c>
      <c r="C175" s="99" t="s">
        <v>91</v>
      </c>
      <c r="D175" s="99" t="s">
        <v>98</v>
      </c>
      <c r="E175" s="99"/>
      <c r="F175" s="99"/>
      <c r="G175" s="12" t="s">
        <v>229</v>
      </c>
      <c r="H175" s="99" t="s">
        <v>5</v>
      </c>
      <c r="I175" s="100">
        <v>10</v>
      </c>
      <c r="J175" s="101">
        <f>J176</f>
        <v>70000000</v>
      </c>
      <c r="K175" s="101">
        <f t="shared" ref="K175:T175" si="97">K176</f>
        <v>0</v>
      </c>
      <c r="L175" s="48">
        <f t="shared" si="97"/>
        <v>0</v>
      </c>
      <c r="M175" s="48">
        <f t="shared" si="97"/>
        <v>70000000</v>
      </c>
      <c r="N175" s="48">
        <f t="shared" si="97"/>
        <v>86400</v>
      </c>
      <c r="O175" s="48">
        <f t="shared" si="97"/>
        <v>69913600</v>
      </c>
      <c r="P175" s="24">
        <f t="shared" si="97"/>
        <v>0</v>
      </c>
      <c r="Q175" s="101">
        <f t="shared" si="97"/>
        <v>69913600</v>
      </c>
      <c r="R175" s="26">
        <f t="shared" si="60"/>
        <v>1</v>
      </c>
      <c r="S175" s="101">
        <f t="shared" si="97"/>
        <v>62922240</v>
      </c>
      <c r="T175" s="102">
        <f t="shared" si="97"/>
        <v>62922240</v>
      </c>
    </row>
    <row r="176" spans="1:20" ht="39" customHeight="1" x14ac:dyDescent="0.25">
      <c r="A176" s="94" t="s">
        <v>18</v>
      </c>
      <c r="B176" s="56" t="s">
        <v>97</v>
      </c>
      <c r="C176" s="56" t="s">
        <v>91</v>
      </c>
      <c r="D176" s="56" t="s">
        <v>98</v>
      </c>
      <c r="E176" s="56" t="s">
        <v>155</v>
      </c>
      <c r="F176" s="56" t="s">
        <v>182</v>
      </c>
      <c r="G176" s="23" t="s">
        <v>211</v>
      </c>
      <c r="H176" s="56" t="s">
        <v>5</v>
      </c>
      <c r="I176" s="57">
        <v>10</v>
      </c>
      <c r="J176" s="58">
        <v>70000000</v>
      </c>
      <c r="K176" s="58">
        <v>0</v>
      </c>
      <c r="L176" s="44">
        <v>0</v>
      </c>
      <c r="M176" s="44">
        <f t="shared" si="91"/>
        <v>70000000</v>
      </c>
      <c r="N176" s="44">
        <v>86400</v>
      </c>
      <c r="O176" s="44">
        <v>69913600</v>
      </c>
      <c r="P176" s="27">
        <f t="shared" si="89"/>
        <v>0</v>
      </c>
      <c r="Q176" s="58">
        <v>69913600</v>
      </c>
      <c r="R176" s="25">
        <f t="shared" si="60"/>
        <v>1</v>
      </c>
      <c r="S176" s="58">
        <v>62922240</v>
      </c>
      <c r="T176" s="59">
        <v>62922240</v>
      </c>
    </row>
    <row r="177" spans="1:20" ht="39" customHeight="1" x14ac:dyDescent="0.25">
      <c r="A177" s="95" t="s">
        <v>18</v>
      </c>
      <c r="B177" s="99" t="s">
        <v>97</v>
      </c>
      <c r="C177" s="99" t="s">
        <v>91</v>
      </c>
      <c r="D177" s="99" t="s">
        <v>99</v>
      </c>
      <c r="E177" s="99"/>
      <c r="F177" s="99"/>
      <c r="G177" s="12" t="s">
        <v>230</v>
      </c>
      <c r="H177" s="99" t="s">
        <v>5</v>
      </c>
      <c r="I177" s="100">
        <v>10</v>
      </c>
      <c r="J177" s="101">
        <f>J178</f>
        <v>2566000000</v>
      </c>
      <c r="K177" s="101">
        <f t="shared" ref="K177:T177" si="98">K178</f>
        <v>2784473477</v>
      </c>
      <c r="L177" s="48">
        <f t="shared" si="98"/>
        <v>0</v>
      </c>
      <c r="M177" s="48">
        <f t="shared" si="98"/>
        <v>5350473477</v>
      </c>
      <c r="N177" s="48">
        <f t="shared" si="98"/>
        <v>0</v>
      </c>
      <c r="O177" s="48">
        <f t="shared" si="98"/>
        <v>5350473477</v>
      </c>
      <c r="P177" s="24">
        <f t="shared" si="98"/>
        <v>0</v>
      </c>
      <c r="Q177" s="101">
        <f t="shared" si="98"/>
        <v>0</v>
      </c>
      <c r="R177" s="26">
        <f t="shared" si="60"/>
        <v>0</v>
      </c>
      <c r="S177" s="101">
        <f t="shared" si="98"/>
        <v>0</v>
      </c>
      <c r="T177" s="102">
        <f t="shared" si="98"/>
        <v>0</v>
      </c>
    </row>
    <row r="178" spans="1:20" ht="32.25" customHeight="1" x14ac:dyDescent="0.25">
      <c r="A178" s="94" t="s">
        <v>18</v>
      </c>
      <c r="B178" s="56" t="s">
        <v>97</v>
      </c>
      <c r="C178" s="56" t="s">
        <v>91</v>
      </c>
      <c r="D178" s="56" t="s">
        <v>99</v>
      </c>
      <c r="E178" s="56" t="s">
        <v>151</v>
      </c>
      <c r="F178" s="56" t="s">
        <v>183</v>
      </c>
      <c r="G178" s="23" t="s">
        <v>212</v>
      </c>
      <c r="H178" s="56" t="s">
        <v>5</v>
      </c>
      <c r="I178" s="57">
        <v>10</v>
      </c>
      <c r="J178" s="58">
        <v>2566000000</v>
      </c>
      <c r="K178" s="58">
        <v>2784473477</v>
      </c>
      <c r="L178" s="44">
        <v>0</v>
      </c>
      <c r="M178" s="44">
        <f t="shared" si="91"/>
        <v>5350473477</v>
      </c>
      <c r="N178" s="44">
        <v>0</v>
      </c>
      <c r="O178" s="44">
        <v>5350473477</v>
      </c>
      <c r="P178" s="27">
        <f>+M178-O178-N178</f>
        <v>0</v>
      </c>
      <c r="Q178" s="58">
        <v>0</v>
      </c>
      <c r="R178" s="25">
        <f t="shared" si="60"/>
        <v>0</v>
      </c>
      <c r="S178" s="58">
        <v>0</v>
      </c>
      <c r="T178" s="59">
        <v>0</v>
      </c>
    </row>
    <row r="179" spans="1:20" s="103" customFormat="1" ht="32.25" customHeight="1" x14ac:dyDescent="0.25">
      <c r="A179" s="95" t="s">
        <v>18</v>
      </c>
      <c r="B179" s="99" t="s">
        <v>97</v>
      </c>
      <c r="C179" s="99" t="s">
        <v>91</v>
      </c>
      <c r="D179" s="99" t="s">
        <v>100</v>
      </c>
      <c r="E179" s="99"/>
      <c r="F179" s="99"/>
      <c r="G179" s="12" t="s">
        <v>231</v>
      </c>
      <c r="H179" s="99" t="s">
        <v>5</v>
      </c>
      <c r="I179" s="100">
        <v>10</v>
      </c>
      <c r="J179" s="101">
        <f>J180</f>
        <v>700000000</v>
      </c>
      <c r="K179" s="101">
        <f t="shared" ref="K179:T179" si="99">K180</f>
        <v>0</v>
      </c>
      <c r="L179" s="48">
        <f t="shared" si="99"/>
        <v>0</v>
      </c>
      <c r="M179" s="48">
        <f t="shared" si="99"/>
        <v>700000000</v>
      </c>
      <c r="N179" s="48">
        <f t="shared" si="99"/>
        <v>34526</v>
      </c>
      <c r="O179" s="48">
        <f t="shared" si="99"/>
        <v>699965474</v>
      </c>
      <c r="P179" s="24">
        <f t="shared" si="99"/>
        <v>0</v>
      </c>
      <c r="Q179" s="101">
        <f t="shared" si="99"/>
        <v>699965474</v>
      </c>
      <c r="R179" s="26">
        <f t="shared" si="60"/>
        <v>1</v>
      </c>
      <c r="S179" s="101">
        <f t="shared" si="99"/>
        <v>340575263.49000001</v>
      </c>
      <c r="T179" s="102">
        <f t="shared" si="99"/>
        <v>340575263.49000001</v>
      </c>
    </row>
    <row r="180" spans="1:20" ht="44.25" customHeight="1" x14ac:dyDescent="0.25">
      <c r="A180" s="94" t="s">
        <v>18</v>
      </c>
      <c r="B180" s="56" t="s">
        <v>97</v>
      </c>
      <c r="C180" s="56" t="s">
        <v>91</v>
      </c>
      <c r="D180" s="56" t="s">
        <v>100</v>
      </c>
      <c r="E180" s="56" t="s">
        <v>155</v>
      </c>
      <c r="F180" s="56" t="s">
        <v>181</v>
      </c>
      <c r="G180" s="23" t="s">
        <v>213</v>
      </c>
      <c r="H180" s="56" t="s">
        <v>5</v>
      </c>
      <c r="I180" s="57">
        <v>10</v>
      </c>
      <c r="J180" s="58">
        <v>700000000</v>
      </c>
      <c r="K180" s="58">
        <v>0</v>
      </c>
      <c r="L180" s="44">
        <v>0</v>
      </c>
      <c r="M180" s="44">
        <f t="shared" si="91"/>
        <v>700000000</v>
      </c>
      <c r="N180" s="44">
        <v>34526</v>
      </c>
      <c r="O180" s="44">
        <v>699965474</v>
      </c>
      <c r="P180" s="27">
        <f t="shared" si="89"/>
        <v>0</v>
      </c>
      <c r="Q180" s="58">
        <v>699965474</v>
      </c>
      <c r="R180" s="25">
        <f t="shared" si="60"/>
        <v>1</v>
      </c>
      <c r="S180" s="58">
        <v>340575263.49000001</v>
      </c>
      <c r="T180" s="59">
        <v>340575263.49000001</v>
      </c>
    </row>
    <row r="181" spans="1:20" ht="44.25" customHeight="1" x14ac:dyDescent="0.25">
      <c r="A181" s="95" t="s">
        <v>18</v>
      </c>
      <c r="B181" s="99" t="s">
        <v>97</v>
      </c>
      <c r="C181" s="11" t="s">
        <v>91</v>
      </c>
      <c r="D181" s="11" t="s">
        <v>101</v>
      </c>
      <c r="E181" s="99"/>
      <c r="F181" s="99"/>
      <c r="G181" s="12" t="s">
        <v>232</v>
      </c>
      <c r="H181" s="11" t="s">
        <v>5</v>
      </c>
      <c r="I181" s="13">
        <v>10</v>
      </c>
      <c r="J181" s="101">
        <f>J182</f>
        <v>4700774679</v>
      </c>
      <c r="K181" s="101">
        <f t="shared" ref="K181:T181" si="100">K182</f>
        <v>0</v>
      </c>
      <c r="L181" s="48">
        <f t="shared" si="100"/>
        <v>314148869</v>
      </c>
      <c r="M181" s="48">
        <f>M182+314148869</f>
        <v>4700774679</v>
      </c>
      <c r="N181" s="48">
        <f t="shared" si="100"/>
        <v>0</v>
      </c>
      <c r="O181" s="48">
        <f t="shared" si="100"/>
        <v>4354734445.3100004</v>
      </c>
      <c r="P181" s="24">
        <f>P182+314148869</f>
        <v>346040233.68999958</v>
      </c>
      <c r="Q181" s="101">
        <f t="shared" si="100"/>
        <v>1453940156.1400001</v>
      </c>
      <c r="R181" s="26">
        <f t="shared" si="60"/>
        <v>0.30929798925169882</v>
      </c>
      <c r="S181" s="101">
        <f t="shared" si="100"/>
        <v>59139998.390000001</v>
      </c>
      <c r="T181" s="102">
        <f t="shared" si="100"/>
        <v>59139998.390000001</v>
      </c>
    </row>
    <row r="182" spans="1:20" ht="42" customHeight="1" x14ac:dyDescent="0.25">
      <c r="A182" s="94" t="s">
        <v>18</v>
      </c>
      <c r="B182" s="56" t="s">
        <v>97</v>
      </c>
      <c r="C182" s="7" t="s">
        <v>91</v>
      </c>
      <c r="D182" s="7" t="s">
        <v>101</v>
      </c>
      <c r="E182" s="7" t="s">
        <v>151</v>
      </c>
      <c r="F182" s="7" t="s">
        <v>181</v>
      </c>
      <c r="G182" s="23" t="s">
        <v>214</v>
      </c>
      <c r="H182" s="7" t="s">
        <v>5</v>
      </c>
      <c r="I182" s="8">
        <v>10</v>
      </c>
      <c r="J182" s="9">
        <v>4700774679</v>
      </c>
      <c r="K182" s="9">
        <v>0</v>
      </c>
      <c r="L182" s="27">
        <v>314148869</v>
      </c>
      <c r="M182" s="44">
        <f t="shared" si="91"/>
        <v>4386625810</v>
      </c>
      <c r="N182" s="27">
        <v>0</v>
      </c>
      <c r="O182" s="27">
        <v>4354734445.3100004</v>
      </c>
      <c r="P182" s="27">
        <f t="shared" si="89"/>
        <v>31891364.68999958</v>
      </c>
      <c r="Q182" s="9">
        <v>1453940156.1400001</v>
      </c>
      <c r="R182" s="25">
        <f t="shared" si="60"/>
        <v>0.3314484114021114</v>
      </c>
      <c r="S182" s="9">
        <v>59139998.390000001</v>
      </c>
      <c r="T182" s="10">
        <v>59139998.390000001</v>
      </c>
    </row>
    <row r="183" spans="1:20" ht="42" customHeight="1" x14ac:dyDescent="0.25">
      <c r="A183" s="95" t="s">
        <v>18</v>
      </c>
      <c r="B183" s="99" t="s">
        <v>97</v>
      </c>
      <c r="C183" s="11" t="s">
        <v>91</v>
      </c>
      <c r="D183" s="11" t="s">
        <v>102</v>
      </c>
      <c r="E183" s="11"/>
      <c r="F183" s="11"/>
      <c r="G183" s="12" t="s">
        <v>233</v>
      </c>
      <c r="H183" s="11" t="s">
        <v>5</v>
      </c>
      <c r="I183" s="13">
        <v>10</v>
      </c>
      <c r="J183" s="14">
        <f>J184+J185</f>
        <v>500000000</v>
      </c>
      <c r="K183" s="14">
        <f t="shared" ref="K183:T183" si="101">K184+K185</f>
        <v>45220999</v>
      </c>
      <c r="L183" s="24">
        <f t="shared" si="101"/>
        <v>45220999</v>
      </c>
      <c r="M183" s="48">
        <f t="shared" si="101"/>
        <v>500000000</v>
      </c>
      <c r="N183" s="24">
        <f t="shared" si="101"/>
        <v>0</v>
      </c>
      <c r="O183" s="24">
        <f t="shared" si="101"/>
        <v>483056273</v>
      </c>
      <c r="P183" s="24">
        <f>P184+P185</f>
        <v>16943727</v>
      </c>
      <c r="Q183" s="14">
        <f t="shared" si="101"/>
        <v>483056273</v>
      </c>
      <c r="R183" s="26">
        <f t="shared" si="60"/>
        <v>0.96611254599999996</v>
      </c>
      <c r="S183" s="14">
        <f t="shared" si="101"/>
        <v>263002082</v>
      </c>
      <c r="T183" s="22">
        <f t="shared" si="101"/>
        <v>263002082</v>
      </c>
    </row>
    <row r="184" spans="1:20" ht="39" customHeight="1" x14ac:dyDescent="0.25">
      <c r="A184" s="94" t="s">
        <v>18</v>
      </c>
      <c r="B184" s="56" t="s">
        <v>97</v>
      </c>
      <c r="C184" s="7" t="s">
        <v>91</v>
      </c>
      <c r="D184" s="7" t="s">
        <v>102</v>
      </c>
      <c r="E184" s="7" t="s">
        <v>155</v>
      </c>
      <c r="F184" s="7" t="s">
        <v>184</v>
      </c>
      <c r="G184" s="23" t="s">
        <v>215</v>
      </c>
      <c r="H184" s="7" t="s">
        <v>5</v>
      </c>
      <c r="I184" s="8">
        <v>10</v>
      </c>
      <c r="J184" s="9">
        <v>180000000</v>
      </c>
      <c r="K184" s="9">
        <v>2229387</v>
      </c>
      <c r="L184" s="27">
        <v>42991612</v>
      </c>
      <c r="M184" s="44">
        <f t="shared" si="91"/>
        <v>139237775</v>
      </c>
      <c r="N184" s="27">
        <v>0</v>
      </c>
      <c r="O184" s="27">
        <v>138309529</v>
      </c>
      <c r="P184" s="27">
        <f t="shared" si="89"/>
        <v>928246</v>
      </c>
      <c r="Q184" s="9">
        <v>138309529</v>
      </c>
      <c r="R184" s="25">
        <f t="shared" si="60"/>
        <v>0.99333337522809451</v>
      </c>
      <c r="S184" s="9">
        <v>83554346</v>
      </c>
      <c r="T184" s="10">
        <v>83554346</v>
      </c>
    </row>
    <row r="185" spans="1:20" ht="39" customHeight="1" x14ac:dyDescent="0.25">
      <c r="A185" s="94" t="s">
        <v>18</v>
      </c>
      <c r="B185" s="56" t="s">
        <v>97</v>
      </c>
      <c r="C185" s="7" t="s">
        <v>91</v>
      </c>
      <c r="D185" s="7" t="s">
        <v>102</v>
      </c>
      <c r="E185" s="7" t="s">
        <v>155</v>
      </c>
      <c r="F185" s="7" t="s">
        <v>181</v>
      </c>
      <c r="G185" s="23" t="s">
        <v>216</v>
      </c>
      <c r="H185" s="7" t="s">
        <v>5</v>
      </c>
      <c r="I185" s="8">
        <v>10</v>
      </c>
      <c r="J185" s="9">
        <v>320000000</v>
      </c>
      <c r="K185" s="9">
        <v>42991612</v>
      </c>
      <c r="L185" s="27">
        <v>2229387</v>
      </c>
      <c r="M185" s="44">
        <f t="shared" si="91"/>
        <v>360762225</v>
      </c>
      <c r="N185" s="27">
        <v>0</v>
      </c>
      <c r="O185" s="27">
        <v>344746744</v>
      </c>
      <c r="P185" s="27">
        <f t="shared" ref="P185" si="102">+M185-O185-N185</f>
        <v>16015481</v>
      </c>
      <c r="Q185" s="9">
        <v>344746744</v>
      </c>
      <c r="R185" s="25">
        <f t="shared" si="60"/>
        <v>0.95560654666657519</v>
      </c>
      <c r="S185" s="9">
        <v>179447736</v>
      </c>
      <c r="T185" s="10">
        <v>179447736</v>
      </c>
    </row>
    <row r="186" spans="1:20" ht="39" customHeight="1" x14ac:dyDescent="0.25">
      <c r="A186" s="95" t="s">
        <v>18</v>
      </c>
      <c r="B186" s="11" t="s">
        <v>97</v>
      </c>
      <c r="C186" s="11" t="s">
        <v>91</v>
      </c>
      <c r="D186" s="11">
        <v>24</v>
      </c>
      <c r="E186" s="11"/>
      <c r="F186" s="11"/>
      <c r="G186" s="12" t="s">
        <v>234</v>
      </c>
      <c r="H186" s="11" t="s">
        <v>5</v>
      </c>
      <c r="I186" s="13">
        <v>10</v>
      </c>
      <c r="J186" s="14">
        <f>J187</f>
        <v>4397847000</v>
      </c>
      <c r="K186" s="14">
        <f t="shared" ref="K186:T186" si="103">K187</f>
        <v>0</v>
      </c>
      <c r="L186" s="24">
        <f t="shared" si="103"/>
        <v>4397847000</v>
      </c>
      <c r="M186" s="48">
        <f>M187+4397847000</f>
        <v>4397847000</v>
      </c>
      <c r="N186" s="24">
        <f t="shared" si="103"/>
        <v>0</v>
      </c>
      <c r="O186" s="24">
        <f t="shared" si="103"/>
        <v>0</v>
      </c>
      <c r="P186" s="24">
        <f>P187+4397847000</f>
        <v>4397847000</v>
      </c>
      <c r="Q186" s="14">
        <f t="shared" si="103"/>
        <v>0</v>
      </c>
      <c r="R186" s="26">
        <f t="shared" si="60"/>
        <v>0</v>
      </c>
      <c r="S186" s="14">
        <f t="shared" si="103"/>
        <v>0</v>
      </c>
      <c r="T186" s="22">
        <f t="shared" si="103"/>
        <v>0</v>
      </c>
    </row>
    <row r="187" spans="1:20" ht="32.25" customHeight="1" x14ac:dyDescent="0.25">
      <c r="A187" s="94" t="s">
        <v>18</v>
      </c>
      <c r="B187" s="7" t="s">
        <v>97</v>
      </c>
      <c r="C187" s="7" t="s">
        <v>91</v>
      </c>
      <c r="D187" s="7">
        <v>24</v>
      </c>
      <c r="E187" s="7" t="s">
        <v>151</v>
      </c>
      <c r="F187" s="7" t="s">
        <v>179</v>
      </c>
      <c r="G187" s="23" t="s">
        <v>217</v>
      </c>
      <c r="H187" s="7" t="s">
        <v>5</v>
      </c>
      <c r="I187" s="8">
        <v>10</v>
      </c>
      <c r="J187" s="9">
        <v>4397847000</v>
      </c>
      <c r="K187" s="9">
        <v>0</v>
      </c>
      <c r="L187" s="27">
        <v>4397847000</v>
      </c>
      <c r="M187" s="44">
        <f t="shared" si="91"/>
        <v>0</v>
      </c>
      <c r="N187" s="27">
        <v>0</v>
      </c>
      <c r="O187" s="27">
        <v>0</v>
      </c>
      <c r="P187" s="27">
        <f t="shared" si="89"/>
        <v>0</v>
      </c>
      <c r="Q187" s="9">
        <v>0</v>
      </c>
      <c r="R187" s="25">
        <f t="shared" si="60"/>
        <v>0</v>
      </c>
      <c r="S187" s="9">
        <v>0</v>
      </c>
      <c r="T187" s="10"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5</v>
      </c>
      <c r="I188" s="83">
        <v>10</v>
      </c>
      <c r="J188" s="64">
        <f t="shared" ref="J188:T188" si="104">J124+J161</f>
        <v>80670115679</v>
      </c>
      <c r="K188" s="64">
        <f t="shared" si="104"/>
        <v>3592656606</v>
      </c>
      <c r="L188" s="64">
        <f t="shared" si="104"/>
        <v>8849766557</v>
      </c>
      <c r="M188" s="64">
        <f t="shared" si="104"/>
        <v>80670115679</v>
      </c>
      <c r="N188" s="3">
        <f t="shared" si="104"/>
        <v>7805059000</v>
      </c>
      <c r="O188" s="64">
        <f>O124+O161</f>
        <v>67073826547.290009</v>
      </c>
      <c r="P188" s="64">
        <f>P124+P161</f>
        <v>5791230131.710001</v>
      </c>
      <c r="Q188" s="64">
        <f>Q124+Q161</f>
        <v>52588577158.639999</v>
      </c>
      <c r="R188" s="76">
        <f>IF(Q188&gt;1,Q188/(M188-N188),0)</f>
        <v>0.7217256055987703</v>
      </c>
      <c r="S188" s="64">
        <f t="shared" si="104"/>
        <v>18958050398.760002</v>
      </c>
      <c r="T188" s="73">
        <f t="shared" si="104"/>
        <v>18958050398.760002</v>
      </c>
    </row>
    <row r="189" spans="1:20" ht="16.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5</v>
      </c>
      <c r="I189" s="83">
        <v>11</v>
      </c>
      <c r="J189" s="64">
        <f t="shared" ref="J189:Q190" si="105">J125</f>
        <v>9015000000</v>
      </c>
      <c r="K189" s="64">
        <f t="shared" si="105"/>
        <v>0</v>
      </c>
      <c r="L189" s="64">
        <f t="shared" si="105"/>
        <v>170206055</v>
      </c>
      <c r="M189" s="64">
        <f t="shared" si="105"/>
        <v>9015000000</v>
      </c>
      <c r="N189" s="3">
        <f t="shared" si="105"/>
        <v>0</v>
      </c>
      <c r="O189" s="64">
        <f>O125</f>
        <v>8844793945</v>
      </c>
      <c r="P189" s="64">
        <f t="shared" si="105"/>
        <v>170206055</v>
      </c>
      <c r="Q189" s="64">
        <f>Q125</f>
        <v>8111620883</v>
      </c>
      <c r="R189" s="76">
        <f t="shared" ref="R189:R193" si="106">IF(Q189&gt;1,Q189/(M189-N189),0)</f>
        <v>0.89979155662784249</v>
      </c>
      <c r="S189" s="64">
        <f t="shared" ref="S189:T189" si="107">S125</f>
        <v>329299199.87</v>
      </c>
      <c r="T189" s="73">
        <f t="shared" si="107"/>
        <v>329299199.87</v>
      </c>
    </row>
    <row r="190" spans="1:20" ht="16.5" customHeight="1" x14ac:dyDescent="0.25">
      <c r="A190" s="81" t="s">
        <v>18</v>
      </c>
      <c r="B190" s="81"/>
      <c r="C190" s="81"/>
      <c r="D190" s="81"/>
      <c r="E190" s="81"/>
      <c r="F190" s="81"/>
      <c r="G190" s="82" t="s">
        <v>19</v>
      </c>
      <c r="H190" s="81" t="s">
        <v>8</v>
      </c>
      <c r="I190" s="83">
        <v>20</v>
      </c>
      <c r="J190" s="64">
        <f t="shared" si="105"/>
        <v>4000000000</v>
      </c>
      <c r="K190" s="64">
        <f t="shared" si="105"/>
        <v>0</v>
      </c>
      <c r="L190" s="64">
        <f t="shared" si="105"/>
        <v>4000000000</v>
      </c>
      <c r="M190" s="64">
        <f t="shared" si="105"/>
        <v>4000000000</v>
      </c>
      <c r="N190" s="3">
        <f t="shared" si="105"/>
        <v>0</v>
      </c>
      <c r="O190" s="64">
        <f t="shared" si="105"/>
        <v>0</v>
      </c>
      <c r="P190" s="64">
        <f t="shared" si="105"/>
        <v>4000000000</v>
      </c>
      <c r="Q190" s="64">
        <f t="shared" si="105"/>
        <v>0</v>
      </c>
      <c r="R190" s="76">
        <f t="shared" si="106"/>
        <v>0</v>
      </c>
      <c r="S190" s="64">
        <f>S126</f>
        <v>0</v>
      </c>
      <c r="T190" s="73">
        <f>T126</f>
        <v>0</v>
      </c>
    </row>
    <row r="191" spans="1:20" ht="15" customHeight="1" x14ac:dyDescent="0.25">
      <c r="A191" s="81" t="s">
        <v>18</v>
      </c>
      <c r="B191" s="81"/>
      <c r="C191" s="81"/>
      <c r="D191" s="81"/>
      <c r="E191" s="81"/>
      <c r="F191" s="81"/>
      <c r="G191" s="82" t="s">
        <v>19</v>
      </c>
      <c r="H191" s="81" t="s">
        <v>8</v>
      </c>
      <c r="I191" s="83">
        <v>21</v>
      </c>
      <c r="J191" s="64">
        <f>J127</f>
        <v>2908160000</v>
      </c>
      <c r="K191" s="64">
        <f>K127</f>
        <v>0</v>
      </c>
      <c r="L191" s="64">
        <f>L127</f>
        <v>0</v>
      </c>
      <c r="M191" s="64">
        <f>M127</f>
        <v>2908160000</v>
      </c>
      <c r="N191" s="3">
        <v>0</v>
      </c>
      <c r="O191" s="64">
        <f>O127</f>
        <v>2904167079.0999999</v>
      </c>
      <c r="P191" s="64">
        <f>P127</f>
        <v>3992920.9000000954</v>
      </c>
      <c r="Q191" s="64">
        <f>Q127</f>
        <v>2850853694.0999999</v>
      </c>
      <c r="R191" s="76">
        <f t="shared" si="106"/>
        <v>0.98029465163539831</v>
      </c>
      <c r="S191" s="64">
        <f>S127</f>
        <v>1475526127.0999999</v>
      </c>
      <c r="T191" s="73">
        <f>T127</f>
        <v>1475526127.0999999</v>
      </c>
    </row>
    <row r="192" spans="1:20" s="5" customFormat="1" ht="13.5" customHeight="1" thickBot="1" x14ac:dyDescent="0.25">
      <c r="A192" s="125" t="s">
        <v>29</v>
      </c>
      <c r="B192" s="126"/>
      <c r="C192" s="126"/>
      <c r="D192" s="126"/>
      <c r="E192" s="126"/>
      <c r="F192" s="126"/>
      <c r="G192" s="126"/>
      <c r="H192" s="126"/>
      <c r="I192" s="127"/>
      <c r="J192" s="40">
        <f>SUM(J188:J191)</f>
        <v>96593275679</v>
      </c>
      <c r="K192" s="40">
        <f t="shared" ref="K192:L192" si="108">SUM(K188:K191)</f>
        <v>3592656606</v>
      </c>
      <c r="L192" s="40">
        <f t="shared" si="108"/>
        <v>13019972612</v>
      </c>
      <c r="M192" s="40">
        <f>SUM(M188:M191)</f>
        <v>96593275679</v>
      </c>
      <c r="N192" s="40">
        <f>SUM(N188:N191)</f>
        <v>7805059000</v>
      </c>
      <c r="O192" s="40">
        <f>SUM(O188:O191)</f>
        <v>78822787571.390015</v>
      </c>
      <c r="P192" s="40">
        <f>SUM(P188:P191)</f>
        <v>9965429107.6100006</v>
      </c>
      <c r="Q192" s="40">
        <f>SUM(Q188:Q191)</f>
        <v>63551051735.739998</v>
      </c>
      <c r="R192" s="42">
        <f>IF(Q192&gt;1,Q192/(M192-N192),0)</f>
        <v>0.71575997483426146</v>
      </c>
      <c r="S192" s="40">
        <f>SUM(S188:S191)</f>
        <v>20762875725.73</v>
      </c>
      <c r="T192" s="53">
        <f>SUM(T188:T191)</f>
        <v>20762875725.73</v>
      </c>
    </row>
    <row r="193" spans="1:20" s="15" customFormat="1" ht="11.25" customHeight="1" thickBot="1" x14ac:dyDescent="0.3">
      <c r="A193" s="125" t="s">
        <v>30</v>
      </c>
      <c r="B193" s="126"/>
      <c r="C193" s="126"/>
      <c r="D193" s="126"/>
      <c r="E193" s="126"/>
      <c r="F193" s="126"/>
      <c r="G193" s="126"/>
      <c r="H193" s="126"/>
      <c r="I193" s="126"/>
      <c r="J193" s="80">
        <f t="shared" ref="J193:Q193" si="109">+J192+J122</f>
        <v>430691975679</v>
      </c>
      <c r="K193" s="80">
        <f>+K192+K122</f>
        <v>34405237609.669998</v>
      </c>
      <c r="L193" s="80">
        <f>+L192+L122</f>
        <v>24355553615.669998</v>
      </c>
      <c r="M193" s="80">
        <f t="shared" si="109"/>
        <v>450168975679</v>
      </c>
      <c r="N193" s="79">
        <f t="shared" si="109"/>
        <v>23920000000</v>
      </c>
      <c r="O193" s="40">
        <f t="shared" si="109"/>
        <v>334975437555.16003</v>
      </c>
      <c r="P193" s="40">
        <f>+P192+P122</f>
        <v>91273538123.839996</v>
      </c>
      <c r="Q193" s="40">
        <f t="shared" si="109"/>
        <v>315956824364.44</v>
      </c>
      <c r="R193" s="42">
        <f t="shared" si="106"/>
        <v>0.74124946308934025</v>
      </c>
      <c r="S193" s="40">
        <f>+S192+S122</f>
        <v>259817310421.70999</v>
      </c>
      <c r="T193" s="53">
        <f>+T192+T122</f>
        <v>259796228678.05002</v>
      </c>
    </row>
    <row r="194" spans="1:20" s="15" customFormat="1" ht="11.25" customHeight="1" x14ac:dyDescent="0.25">
      <c r="A194" s="112" t="s">
        <v>249</v>
      </c>
      <c r="B194" s="112"/>
      <c r="C194" s="112"/>
      <c r="D194" s="112"/>
      <c r="E194" s="112"/>
      <c r="F194" s="112"/>
      <c r="G194" s="112"/>
      <c r="H194" s="112"/>
      <c r="I194" s="112"/>
      <c r="J194" s="113"/>
      <c r="K194" s="113"/>
      <c r="L194" s="113"/>
      <c r="M194" s="113"/>
      <c r="N194" s="113"/>
      <c r="O194" s="113"/>
      <c r="P194" s="105"/>
      <c r="Q194" s="105"/>
      <c r="R194" s="111"/>
      <c r="S194" s="105"/>
      <c r="T194" s="105"/>
    </row>
    <row r="195" spans="1:20" s="15" customFormat="1" ht="11.25" customHeight="1" x14ac:dyDescent="0.25">
      <c r="A195" s="114"/>
      <c r="B195" s="114"/>
      <c r="C195" s="114"/>
      <c r="D195" s="114"/>
      <c r="E195" s="114"/>
      <c r="F195" s="114"/>
      <c r="G195" s="114"/>
      <c r="H195" s="114"/>
      <c r="I195" s="114"/>
      <c r="J195" s="115"/>
      <c r="K195" s="115"/>
      <c r="L195" s="115"/>
      <c r="M195" s="115"/>
      <c r="N195" s="115"/>
      <c r="O195" s="115"/>
      <c r="P195" s="105"/>
      <c r="Q195" s="105"/>
      <c r="R195" s="111"/>
      <c r="S195" s="105"/>
      <c r="T195" s="105"/>
    </row>
    <row r="196" spans="1:20" s="15" customFormat="1" ht="11.25" customHeight="1" x14ac:dyDescent="0.25">
      <c r="A196" s="114"/>
      <c r="B196" s="114"/>
      <c r="C196" s="114"/>
      <c r="D196" s="114"/>
      <c r="E196" s="114"/>
      <c r="F196" s="114"/>
      <c r="G196" s="114"/>
      <c r="H196" s="114"/>
      <c r="I196" s="114"/>
      <c r="J196" s="115"/>
      <c r="K196" s="115"/>
      <c r="L196" s="115"/>
      <c r="M196" s="115"/>
      <c r="N196" s="115"/>
      <c r="O196" s="115"/>
      <c r="P196" s="105"/>
      <c r="Q196" s="105"/>
      <c r="R196" s="111"/>
      <c r="S196" s="105"/>
      <c r="T196" s="105"/>
    </row>
    <row r="197" spans="1:20" s="15" customFormat="1" ht="6.75" customHeight="1" x14ac:dyDescent="0.25">
      <c r="A197" s="110"/>
      <c r="B197" s="110"/>
      <c r="C197" s="110"/>
      <c r="D197" s="110"/>
      <c r="E197" s="110"/>
      <c r="F197" s="110"/>
      <c r="G197" s="110"/>
      <c r="H197" s="110"/>
      <c r="I197" s="110"/>
      <c r="J197" s="105"/>
      <c r="K197" s="105"/>
      <c r="L197" s="105"/>
      <c r="M197" s="105"/>
      <c r="N197" s="105"/>
      <c r="O197" s="105"/>
      <c r="P197" s="105"/>
      <c r="Q197" s="105"/>
      <c r="R197" s="111"/>
      <c r="S197" s="105"/>
      <c r="T197" s="105"/>
    </row>
    <row r="198" spans="1:20" s="15" customFormat="1" ht="9" customHeight="1" x14ac:dyDescent="0.25">
      <c r="A198" s="15" t="s">
        <v>32</v>
      </c>
      <c r="E198" s="16"/>
      <c r="F198" s="17"/>
      <c r="G198" s="18"/>
      <c r="H198" s="19"/>
      <c r="I198" s="20"/>
      <c r="J198" s="20">
        <f>J193-[1]REP_EPG034_EjecucionPresupuesta!$S$39</f>
        <v>0</v>
      </c>
      <c r="K198" s="20"/>
      <c r="L198" s="20"/>
      <c r="M198" s="105"/>
      <c r="N198" s="60"/>
      <c r="O198" s="45"/>
      <c r="P198" s="21"/>
      <c r="Q198" s="30"/>
      <c r="R198" s="21"/>
      <c r="S198" s="66"/>
      <c r="T198" s="66"/>
    </row>
    <row r="199" spans="1:20" s="15" customFormat="1" ht="9" customHeight="1" x14ac:dyDescent="0.25">
      <c r="A199" s="15" t="s">
        <v>246</v>
      </c>
      <c r="E199" s="16"/>
      <c r="F199" s="17"/>
      <c r="G199" s="18"/>
      <c r="H199" s="19"/>
      <c r="I199" s="20"/>
      <c r="J199" s="20"/>
      <c r="K199" s="20"/>
      <c r="L199" s="20"/>
      <c r="N199" s="66"/>
      <c r="O199" s="28"/>
      <c r="P199" s="21"/>
      <c r="Q199" s="31"/>
      <c r="R199" s="21"/>
    </row>
    <row r="200" spans="1:20" s="15" customFormat="1" ht="9" customHeight="1" x14ac:dyDescent="0.25">
      <c r="A200" s="15" t="s">
        <v>244</v>
      </c>
      <c r="E200" s="16"/>
      <c r="F200" s="17"/>
      <c r="G200" s="18"/>
      <c r="H200" s="19"/>
      <c r="I200" s="20"/>
      <c r="J200" s="20"/>
      <c r="K200" s="20"/>
      <c r="L200" s="20"/>
      <c r="O200" s="67"/>
      <c r="P200" s="21"/>
      <c r="Q200" s="31"/>
      <c r="R200" s="21"/>
    </row>
    <row r="201" spans="1:20" x14ac:dyDescent="0.25">
      <c r="A201" s="15" t="s">
        <v>250</v>
      </c>
      <c r="B201" s="15"/>
      <c r="C201" s="15"/>
      <c r="D201" s="15"/>
      <c r="E201" s="16"/>
      <c r="F201" s="17"/>
      <c r="G201" s="18"/>
      <c r="H201" s="19"/>
      <c r="I201" s="20"/>
      <c r="J201" s="20"/>
      <c r="K201" s="20"/>
      <c r="L201" s="20"/>
      <c r="M201" s="15"/>
      <c r="N201" s="15"/>
      <c r="O201" s="28"/>
      <c r="P201" s="21"/>
      <c r="Q201" s="31"/>
      <c r="R201" s="21"/>
      <c r="S201" s="15"/>
      <c r="T201" s="15"/>
    </row>
  </sheetData>
  <mergeCells count="14">
    <mergeCell ref="A194:O196"/>
    <mergeCell ref="A2:T2"/>
    <mergeCell ref="A1:F1"/>
    <mergeCell ref="A123:T123"/>
    <mergeCell ref="A192:I192"/>
    <mergeCell ref="A193:I193"/>
    <mergeCell ref="A34:I34"/>
    <mergeCell ref="A35:T35"/>
    <mergeCell ref="A91:I91"/>
    <mergeCell ref="A92:T92"/>
    <mergeCell ref="A117:I117"/>
    <mergeCell ref="A122:I122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OCTUBRE 31-2024
&amp;R
Página &amp;P de &amp;N</oddHeader>
  </headerFooter>
  <ignoredErrors>
    <ignoredError sqref="N51:N56 P100 N23:N31 F115 H115:I115 C33:I33 Q33 G23:I26 H27:I27 G28:I31 H51:I52 H54:I56 C18:D18 C19:E26 C3:E4 I4 C44:I45 C102:F102 C36 C5:F17 C27:F32 M89:O89 N98:Q98 M91:Q91 P114 N114 M108:Q108 M107 M109:O109 M112:O113 C103 Q109 S90:T91 S96:T99 S105:T105 S112:T113 S107:T109 O107 Q96 Q93 B3:B33 B107:E116 Q112:Q113 I64:I70 B96:B104 F103 H103 B93:I94 N93 S93:T93 C104:I104 N105:O105 N33:O34 B95:E95 S33:T34 F107:I114 C96:I101 C88:I90 B170:E170 E173 B184:E184 B185:D185 B157:F160 B187:F187 B173:D174 N90:Q90 B161:E161 E164:F164 B166:F166 E168:F168 B171:D171 F170:F171 F173:F174 B182:F182 F184:F185 B156:C156 B162:D165 B167:D169 B172:L172 B175:L175 B176:M176 B177:L177 B183:D183 B186:C186 N172:O172 N175:O175 C72:F87 B72:B90 I72:I87 B71:I71 B49:F61 I57:I61 B62:I63 B64:F70 C37:F43 C46:F46 B36:B47 C47:D47 E47:F47 B48:D48 E48:F48 B179:L181 B178:J178 L178 N97:O97 Q97 N99:O99 Q99 Q107 Q105" numberStoredAsText="1"/>
    <ignoredError sqref="M18:N18 R3:R4 R18 R26 R36 R44:R46 R88 R100:R102 R115:R117 R190:R191 N116 P26 P18 P102 M26 M99 M102 N156:O156 J162:M162 M165:P165 M183:O183 N186:O186 R33:R34 N130:O130 M152:O152 M132 P129 M129 R119:R121 A118:O118 A151:A152 A149:A150 G150:N150 A130 A129 G129:K129 A132 A131 G131:K131 A136:A138 A133:A135 G135:N135 A142 A139:A141 G139:N139 A146:A148 A143:A145 G145:K145 A153:A155 G155:M155 A128 E128:L128 E130:L130 E132:F132 E136:O136 G147:T147 G151:N151 A122:T123 A120:Q121 S119:T121 N129 R129 N132:O132 Q132:T132 H152:L152 Q152:T152 Q130:T130 R156 R161:R163 R165:R169 R172 R175:R181 R183 R186 R188 R107 R109 H132:L132 E142:O142 H153:K153 P135 P140 P145 G148:K148 R148 P151 P155 P153 M164 P164 M182:N182 P182 R131 P133 R133 P139 R139 P143 R143 R151 G133:K133 M133:N133 G134:J134 L134:N134 M153 G154:J154 L154:M154 G143:J143 L143:N143 G144:K144 M144:N144 M145:N145 M167:O167 M166 P166 P134 R134 P154 R154 A127:F127 A125:F125 H125:I125 A126:F126 H126:L126 H127:T127 P131 R135 P141 R141 P144 R144 P150 R150 N162:O162 G146:L146 Q146:T146 M169:O169 M168:N168 P168 R140 R145 R149 R155 R153 R193 S162:T162 P109 N128:O128 Q128:T128 N148 G149:K149 N149 N146 M131 E138:O138 Q138:T138 Q118:R118 A119:O119 Q119 A124:I124 R124 Q162 E137:L137 Q137:T137 Q142:T142 N124 Q125:T125 Q136:T136 G141:N141 G140:K140 M140:N140 N137:O137 Q126:T126 K124:L124 N125:O125 K125:L125 N126:O126" formula="1"/>
    <ignoredError sqref="P112:P113 R89:R91 R98:R99 R103:R105 N107 P96 R93:R94 R111:R114 M180 N181:O181 M178:N178 M179:P179 M177:P177 M172 P175:P176 M175 B151:F152 B146:F148 B136:D138 B132:D132 B130:D130 B128:D128 B153:F155 B143:F145 B139:F141 B133:F135 B131:F131 B129:F129 B149:F150 R108 B142:D142 P18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31-2024</vt:lpstr>
      <vt:lpstr>'OCTUBRE 31-2024'!Área_de_impresión</vt:lpstr>
      <vt:lpstr>'OCTUBRE 31-2024'!Títulos_a_imprimir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2024-07-03T16:25:42Z</cp:lastPrinted>
  <dcterms:created xsi:type="dcterms:W3CDTF">2016-02-01T15:56:25Z</dcterms:created>
  <dcterms:modified xsi:type="dcterms:W3CDTF">2024-11-13T15:28:40Z</dcterms:modified>
</cp:coreProperties>
</file>