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Julio/"/>
    </mc:Choice>
  </mc:AlternateContent>
  <xr:revisionPtr revIDLastSave="0" documentId="8_{A8189CD1-B26A-4AD8-A901-D4731DE18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-31-2024" sheetId="11" r:id="rId1"/>
  </sheets>
  <externalReferences>
    <externalReference r:id="rId2"/>
  </externalReferences>
  <definedNames>
    <definedName name="_xlnm._FilterDatabase" localSheetId="0" hidden="1">'JULIO-31-2024'!$A$1:$IY$197</definedName>
    <definedName name="_xlnm.Print_Area" localSheetId="0">'JULIO-31-2024'!$A$1:$T$197</definedName>
    <definedName name="_xlnm.Print_Titles" localSheetId="0">'JULIO-31-2024'!$1:$1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0" i="11" l="1"/>
  <c r="L64" i="11"/>
  <c r="M64" i="11" s="1"/>
  <c r="K64" i="11"/>
  <c r="M63" i="11"/>
  <c r="L85" i="11"/>
  <c r="K57" i="11"/>
  <c r="K86" i="11"/>
  <c r="L81" i="11"/>
  <c r="L73" i="11"/>
  <c r="L65" i="11"/>
  <c r="L61" i="11"/>
  <c r="L59" i="11"/>
  <c r="L56" i="11"/>
  <c r="L55" i="11"/>
  <c r="L53" i="11"/>
  <c r="L51" i="11"/>
  <c r="K83" i="11"/>
  <c r="L54" i="11"/>
  <c r="K87" i="11"/>
  <c r="L80" i="11"/>
  <c r="L76" i="11"/>
  <c r="K73" i="11"/>
  <c r="K59" i="11"/>
  <c r="L82" i="11"/>
  <c r="K85" i="11"/>
  <c r="K67" i="11"/>
  <c r="K69" i="11"/>
  <c r="K61" i="11"/>
  <c r="K56" i="11"/>
  <c r="K54" i="11"/>
  <c r="K52" i="11"/>
  <c r="K51" i="11"/>
  <c r="K50" i="11"/>
  <c r="K37" i="11"/>
  <c r="K65" i="11"/>
  <c r="K38" i="11"/>
  <c r="L69" i="11"/>
  <c r="K53" i="11"/>
  <c r="J57" i="11"/>
  <c r="L84" i="11"/>
  <c r="L67" i="11"/>
  <c r="L66" i="11"/>
  <c r="K68" i="11"/>
  <c r="L83" i="11"/>
  <c r="N110" i="11" l="1"/>
  <c r="L37" i="11" l="1"/>
  <c r="K79" i="11" l="1"/>
  <c r="L77" i="11"/>
  <c r="L57" i="11"/>
  <c r="T36" i="11"/>
  <c r="S36" i="11"/>
  <c r="K36" i="11"/>
  <c r="N36" i="11"/>
  <c r="O36" i="11"/>
  <c r="Q36" i="11"/>
  <c r="J36" i="11"/>
  <c r="K62" i="11"/>
  <c r="M62" i="11" s="1"/>
  <c r="P62" i="11" s="1"/>
  <c r="K58" i="11"/>
  <c r="K55" i="11"/>
  <c r="M47" i="11"/>
  <c r="P47" i="11" s="1"/>
  <c r="T44" i="11"/>
  <c r="S44" i="11"/>
  <c r="N44" i="11"/>
  <c r="O44" i="11"/>
  <c r="Q44" i="11"/>
  <c r="J44" i="11"/>
  <c r="M41" i="11"/>
  <c r="R41" i="11"/>
  <c r="P41" i="11"/>
  <c r="K84" i="11"/>
  <c r="L68" i="11"/>
  <c r="P148" i="11"/>
  <c r="S163" i="11"/>
  <c r="R63" i="11"/>
  <c r="R62" i="11"/>
  <c r="K63" i="11"/>
  <c r="P63" i="11" s="1"/>
  <c r="K76" i="11"/>
  <c r="R96" i="11"/>
  <c r="J99" i="11"/>
  <c r="J98" i="11" s="1"/>
  <c r="J97" i="11" s="1"/>
  <c r="J102" i="11"/>
  <c r="J94" i="11"/>
  <c r="T26" i="11"/>
  <c r="T18" i="11"/>
  <c r="T4" i="11"/>
  <c r="T3" i="11" l="1"/>
  <c r="M83" i="11" l="1"/>
  <c r="M8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53" i="11"/>
  <c r="R50" i="11"/>
  <c r="M50" i="11"/>
  <c r="P50" i="11" s="1"/>
  <c r="M54" i="11"/>
  <c r="L39" i="11"/>
  <c r="K44" i="11"/>
  <c r="L44" i="11"/>
  <c r="P71" i="11"/>
  <c r="R71" i="11"/>
  <c r="M48" i="11"/>
  <c r="M49" i="11"/>
  <c r="M37" i="11"/>
  <c r="M38" i="11"/>
  <c r="M40" i="11"/>
  <c r="P40" i="11" s="1"/>
  <c r="M42" i="11"/>
  <c r="P42" i="11" s="1"/>
  <c r="M43" i="11"/>
  <c r="J45" i="11"/>
  <c r="J132" i="11"/>
  <c r="J146" i="11"/>
  <c r="J125" i="11" s="1"/>
  <c r="J147" i="11"/>
  <c r="R187" i="11"/>
  <c r="R178" i="11"/>
  <c r="R166" i="11"/>
  <c r="R160" i="11"/>
  <c r="R155" i="11"/>
  <c r="R153" i="11"/>
  <c r="R148" i="11"/>
  <c r="R145" i="11"/>
  <c r="R140" i="11"/>
  <c r="R135" i="11"/>
  <c r="J156" i="11"/>
  <c r="J152" i="11"/>
  <c r="T147" i="11"/>
  <c r="S147" i="11"/>
  <c r="Q147" i="11"/>
  <c r="O147" i="11"/>
  <c r="N147" i="11"/>
  <c r="L147" i="11"/>
  <c r="K147" i="11"/>
  <c r="T146" i="11"/>
  <c r="T125" i="11" s="1"/>
  <c r="T189" i="11" s="1"/>
  <c r="S146" i="11"/>
  <c r="S125" i="11" s="1"/>
  <c r="S189" i="11" s="1"/>
  <c r="Q146" i="11"/>
  <c r="Q125" i="11" s="1"/>
  <c r="O146" i="11"/>
  <c r="O125" i="11" s="1"/>
  <c r="O189" i="11" s="1"/>
  <c r="N146" i="11"/>
  <c r="N125" i="11" s="1"/>
  <c r="L146" i="11"/>
  <c r="L125" i="11" s="1"/>
  <c r="K125" i="11"/>
  <c r="T186" i="11"/>
  <c r="S186" i="11"/>
  <c r="Q186" i="11"/>
  <c r="R186" i="11" s="1"/>
  <c r="O186" i="11"/>
  <c r="N186" i="11"/>
  <c r="L186" i="11"/>
  <c r="K186" i="11"/>
  <c r="J186" i="11"/>
  <c r="T183" i="11"/>
  <c r="S183" i="11"/>
  <c r="Q183" i="11"/>
  <c r="O183" i="11"/>
  <c r="N183" i="11"/>
  <c r="L183" i="11"/>
  <c r="K183" i="11"/>
  <c r="J183" i="11"/>
  <c r="T181" i="11"/>
  <c r="S181" i="11"/>
  <c r="Q181" i="11"/>
  <c r="O181" i="11"/>
  <c r="N181" i="11"/>
  <c r="L181" i="11"/>
  <c r="K181" i="11"/>
  <c r="J181" i="11"/>
  <c r="T179" i="11"/>
  <c r="S179" i="11"/>
  <c r="Q179" i="11"/>
  <c r="O179" i="11"/>
  <c r="N179" i="11"/>
  <c r="L179" i="11"/>
  <c r="K179" i="11"/>
  <c r="J179" i="11"/>
  <c r="T177" i="11"/>
  <c r="S177" i="11"/>
  <c r="Q177" i="11"/>
  <c r="R177" i="11" s="1"/>
  <c r="O177" i="11"/>
  <c r="N177" i="11"/>
  <c r="L177" i="11"/>
  <c r="K177" i="11"/>
  <c r="J177" i="11"/>
  <c r="T175" i="11"/>
  <c r="S175" i="11"/>
  <c r="Q175" i="11"/>
  <c r="O175" i="11"/>
  <c r="N175" i="11"/>
  <c r="L175" i="11"/>
  <c r="K175" i="11"/>
  <c r="J175" i="11"/>
  <c r="T172" i="11"/>
  <c r="S172" i="11"/>
  <c r="Q172" i="11"/>
  <c r="O172" i="11"/>
  <c r="N172" i="11"/>
  <c r="L172" i="11"/>
  <c r="K172" i="11"/>
  <c r="J172" i="11"/>
  <c r="T169" i="11"/>
  <c r="S169" i="11"/>
  <c r="Q169" i="11"/>
  <c r="O169" i="11"/>
  <c r="N169" i="11"/>
  <c r="L169" i="11"/>
  <c r="K169" i="11"/>
  <c r="J169" i="11"/>
  <c r="T167" i="11"/>
  <c r="S167" i="11"/>
  <c r="Q167" i="11"/>
  <c r="O167" i="11"/>
  <c r="N167" i="11"/>
  <c r="L167" i="11"/>
  <c r="K167" i="11"/>
  <c r="J167" i="11"/>
  <c r="T165" i="11"/>
  <c r="S165" i="11"/>
  <c r="Q165" i="11"/>
  <c r="R165" i="11" s="1"/>
  <c r="O165" i="11"/>
  <c r="N165" i="11"/>
  <c r="L165" i="11"/>
  <c r="K165" i="11"/>
  <c r="J165" i="11"/>
  <c r="T163" i="11"/>
  <c r="Q163" i="11"/>
  <c r="O163" i="11"/>
  <c r="N163" i="11"/>
  <c r="L163" i="11"/>
  <c r="K163" i="11"/>
  <c r="J163" i="11"/>
  <c r="T156" i="11"/>
  <c r="S156" i="11"/>
  <c r="Q156" i="11"/>
  <c r="O156" i="11"/>
  <c r="N156" i="11"/>
  <c r="L156" i="11"/>
  <c r="K156" i="11"/>
  <c r="K152" i="11"/>
  <c r="T152" i="11"/>
  <c r="S152" i="11"/>
  <c r="Q152" i="11"/>
  <c r="O152" i="11"/>
  <c r="N152" i="11"/>
  <c r="L152" i="11"/>
  <c r="L142" i="11"/>
  <c r="K142" i="11"/>
  <c r="T142" i="11"/>
  <c r="S142" i="11"/>
  <c r="Q142" i="11"/>
  <c r="O142" i="11"/>
  <c r="N142" i="11"/>
  <c r="J142" i="11"/>
  <c r="T138" i="11"/>
  <c r="S138" i="11"/>
  <c r="Q138" i="11"/>
  <c r="O138" i="11"/>
  <c r="N138" i="11"/>
  <c r="L138" i="11"/>
  <c r="K138" i="11"/>
  <c r="J138" i="11"/>
  <c r="T137" i="11"/>
  <c r="T126" i="11" s="1"/>
  <c r="S137" i="11"/>
  <c r="S126" i="11" s="1"/>
  <c r="Q137" i="11"/>
  <c r="Q126" i="11" s="1"/>
  <c r="R126" i="11" s="1"/>
  <c r="O137" i="11"/>
  <c r="O126" i="11" s="1"/>
  <c r="N137" i="11"/>
  <c r="N126" i="11" s="1"/>
  <c r="L137" i="11"/>
  <c r="L126" i="11" s="1"/>
  <c r="K137" i="11"/>
  <c r="K126" i="11" s="1"/>
  <c r="J137" i="11"/>
  <c r="J126" i="11" s="1"/>
  <c r="T136" i="11"/>
  <c r="S136" i="11"/>
  <c r="Q136" i="11"/>
  <c r="O136" i="11"/>
  <c r="N136" i="11"/>
  <c r="L136" i="11"/>
  <c r="K136" i="11"/>
  <c r="J136" i="11"/>
  <c r="T132" i="11"/>
  <c r="S132" i="11"/>
  <c r="Q132" i="11"/>
  <c r="O132" i="11"/>
  <c r="N132" i="11"/>
  <c r="L132" i="11"/>
  <c r="K132" i="11"/>
  <c r="J130" i="11"/>
  <c r="T128" i="11"/>
  <c r="S128" i="11"/>
  <c r="Q128" i="11"/>
  <c r="O128" i="11"/>
  <c r="J128" i="11"/>
  <c r="M39" i="11" l="1"/>
  <c r="L36" i="11"/>
  <c r="M36" i="11"/>
  <c r="J127" i="11"/>
  <c r="S162" i="11"/>
  <c r="S161" i="11" s="1"/>
  <c r="T162" i="11"/>
  <c r="T161" i="11" s="1"/>
  <c r="Q162" i="11"/>
  <c r="Q161" i="11" s="1"/>
  <c r="Q189" i="11"/>
  <c r="M52" i="11"/>
  <c r="M51" i="11"/>
  <c r="P51" i="11" s="1"/>
  <c r="N162" i="11"/>
  <c r="N161" i="11" s="1"/>
  <c r="J124" i="11"/>
  <c r="J162" i="11"/>
  <c r="J161" i="11" s="1"/>
  <c r="K162" i="11"/>
  <c r="K161" i="11" s="1"/>
  <c r="L162" i="11"/>
  <c r="L161" i="11" s="1"/>
  <c r="O162" i="11"/>
  <c r="O161" i="11" s="1"/>
  <c r="R137" i="11"/>
  <c r="L130" i="11"/>
  <c r="K130" i="11"/>
  <c r="T130" i="11"/>
  <c r="S130" i="11"/>
  <c r="Q130" i="11"/>
  <c r="O130" i="11"/>
  <c r="N130" i="11"/>
  <c r="N128" i="11"/>
  <c r="L128" i="11"/>
  <c r="K128" i="11"/>
  <c r="M166" i="11"/>
  <c r="M165" i="11" s="1"/>
  <c r="M168" i="11"/>
  <c r="M170" i="11"/>
  <c r="R170" i="11" s="1"/>
  <c r="M171" i="11"/>
  <c r="R171" i="11" s="1"/>
  <c r="M173" i="11"/>
  <c r="R173" i="11" s="1"/>
  <c r="M174" i="11"/>
  <c r="R174" i="11" s="1"/>
  <c r="M176" i="11"/>
  <c r="M178" i="11"/>
  <c r="M177" i="11" s="1"/>
  <c r="M180" i="11"/>
  <c r="M182" i="11"/>
  <c r="M184" i="11"/>
  <c r="R184" i="11" s="1"/>
  <c r="M185" i="11"/>
  <c r="R185" i="11" s="1"/>
  <c r="M187" i="11"/>
  <c r="M186" i="11" s="1"/>
  <c r="M164" i="11"/>
  <c r="M131" i="11"/>
  <c r="P131" i="11" s="1"/>
  <c r="M133" i="11"/>
  <c r="R133" i="11" s="1"/>
  <c r="M134" i="11"/>
  <c r="R134" i="11" s="1"/>
  <c r="M135" i="11"/>
  <c r="M139" i="11"/>
  <c r="M140" i="11"/>
  <c r="M141" i="11"/>
  <c r="M143" i="11"/>
  <c r="M144" i="11"/>
  <c r="M145" i="11"/>
  <c r="M149" i="11"/>
  <c r="M150" i="11"/>
  <c r="M151" i="11"/>
  <c r="R151" i="11" s="1"/>
  <c r="M153" i="11"/>
  <c r="M154" i="11"/>
  <c r="R154" i="11" s="1"/>
  <c r="M155" i="11"/>
  <c r="M157" i="11"/>
  <c r="R157" i="11" s="1"/>
  <c r="M158" i="11"/>
  <c r="R158" i="11" s="1"/>
  <c r="M159" i="11"/>
  <c r="R159" i="11" s="1"/>
  <c r="M160" i="11"/>
  <c r="M129" i="11"/>
  <c r="M114" i="11"/>
  <c r="M111" i="11"/>
  <c r="P111" i="11" s="1"/>
  <c r="M110" i="11"/>
  <c r="M96" i="11"/>
  <c r="M100" i="11"/>
  <c r="M101" i="11"/>
  <c r="M103" i="11"/>
  <c r="M95" i="11"/>
  <c r="M55" i="11"/>
  <c r="M56" i="11"/>
  <c r="M57" i="11"/>
  <c r="M58" i="11"/>
  <c r="M59" i="11"/>
  <c r="P59" i="11" s="1"/>
  <c r="M60" i="11"/>
  <c r="R60" i="11" s="1"/>
  <c r="M61" i="11"/>
  <c r="M65" i="11"/>
  <c r="M66" i="11"/>
  <c r="M67" i="11"/>
  <c r="M68" i="11"/>
  <c r="M69" i="11"/>
  <c r="M70" i="11"/>
  <c r="M72" i="11"/>
  <c r="M74" i="11"/>
  <c r="M75" i="11"/>
  <c r="M46" i="11" s="1"/>
  <c r="M76" i="11"/>
  <c r="M77" i="11"/>
  <c r="M78" i="11"/>
  <c r="M79" i="11"/>
  <c r="P79" i="11" s="1"/>
  <c r="M80" i="11"/>
  <c r="M81" i="11"/>
  <c r="M82" i="11"/>
  <c r="M85" i="11"/>
  <c r="P85" i="11" s="1"/>
  <c r="M86" i="11"/>
  <c r="M87" i="11"/>
  <c r="M167" i="11" l="1"/>
  <c r="R167" i="11" s="1"/>
  <c r="P168" i="11"/>
  <c r="R168" i="11"/>
  <c r="M146" i="11"/>
  <c r="R149" i="11"/>
  <c r="P150" i="11"/>
  <c r="R150" i="11"/>
  <c r="R143" i="11"/>
  <c r="P143" i="11"/>
  <c r="M130" i="11"/>
  <c r="R130" i="11" s="1"/>
  <c r="R131" i="11"/>
  <c r="M138" i="11"/>
  <c r="R138" i="11" s="1"/>
  <c r="P141" i="11"/>
  <c r="R141" i="11"/>
  <c r="P144" i="11"/>
  <c r="R144" i="11"/>
  <c r="M137" i="11"/>
  <c r="M126" i="11" s="1"/>
  <c r="P140" i="11"/>
  <c r="M181" i="11"/>
  <c r="R181" i="11" s="1"/>
  <c r="R182" i="11"/>
  <c r="M136" i="11"/>
  <c r="R136" i="11" s="1"/>
  <c r="R139" i="11"/>
  <c r="M175" i="11"/>
  <c r="R175" i="11" s="1"/>
  <c r="R176" i="11"/>
  <c r="M163" i="11"/>
  <c r="R164" i="11"/>
  <c r="M128" i="11"/>
  <c r="R128" i="11" s="1"/>
  <c r="R129" i="11"/>
  <c r="M73" i="11"/>
  <c r="M44" i="11" s="1"/>
  <c r="M179" i="11"/>
  <c r="R179" i="11" s="1"/>
  <c r="R180" i="11"/>
  <c r="M147" i="11"/>
  <c r="R147" i="11" s="1"/>
  <c r="M183" i="11"/>
  <c r="R183" i="11" s="1"/>
  <c r="M156" i="11"/>
  <c r="R156" i="11" s="1"/>
  <c r="M142" i="11"/>
  <c r="R142" i="11" s="1"/>
  <c r="M152" i="11"/>
  <c r="R152" i="11" s="1"/>
  <c r="M172" i="11"/>
  <c r="R172" i="11" s="1"/>
  <c r="M132" i="11"/>
  <c r="R132" i="11" s="1"/>
  <c r="M169" i="11"/>
  <c r="R169" i="11" s="1"/>
  <c r="R37" i="11"/>
  <c r="R5" i="11"/>
  <c r="R110" i="11"/>
  <c r="M127" i="11"/>
  <c r="P151" i="11"/>
  <c r="T127" i="11"/>
  <c r="S127" i="11"/>
  <c r="Q127" i="11"/>
  <c r="O127" i="11"/>
  <c r="N127" i="11"/>
  <c r="L127" i="11"/>
  <c r="K127" i="11"/>
  <c r="M125" i="11" l="1"/>
  <c r="R125" i="11" s="1"/>
  <c r="R146" i="11"/>
  <c r="R163" i="11"/>
  <c r="M162" i="11"/>
  <c r="R44" i="11"/>
  <c r="R127" i="11"/>
  <c r="T124" i="11"/>
  <c r="T188" i="11" s="1"/>
  <c r="S124" i="11"/>
  <c r="S188" i="11" s="1"/>
  <c r="Q124" i="11"/>
  <c r="Q188" i="11" s="1"/>
  <c r="O124" i="11"/>
  <c r="N124" i="11"/>
  <c r="L124" i="11"/>
  <c r="K124" i="11"/>
  <c r="J89" i="11"/>
  <c r="J120" i="11" s="1"/>
  <c r="T191" i="11"/>
  <c r="S191" i="11"/>
  <c r="Q191" i="11"/>
  <c r="T190" i="11"/>
  <c r="S190" i="11"/>
  <c r="O190" i="11"/>
  <c r="N190" i="11"/>
  <c r="N189" i="11"/>
  <c r="K191" i="11"/>
  <c r="L190" i="11"/>
  <c r="K190" i="11"/>
  <c r="L189" i="11"/>
  <c r="K189" i="11"/>
  <c r="J190" i="11"/>
  <c r="J189" i="11"/>
  <c r="P185" i="11"/>
  <c r="P174" i="11"/>
  <c r="P160" i="11"/>
  <c r="P159" i="11"/>
  <c r="P158" i="11"/>
  <c r="P155" i="11"/>
  <c r="P154" i="11"/>
  <c r="P147" i="11"/>
  <c r="P145" i="11"/>
  <c r="P135" i="11"/>
  <c r="P134" i="11"/>
  <c r="P37" i="11"/>
  <c r="U38" i="11" s="1"/>
  <c r="P77" i="11"/>
  <c r="P38" i="11"/>
  <c r="M124" i="11"/>
  <c r="P49" i="11"/>
  <c r="P52" i="11"/>
  <c r="P53" i="11"/>
  <c r="P54" i="11"/>
  <c r="P55" i="11"/>
  <c r="P56" i="11"/>
  <c r="P57" i="11"/>
  <c r="P58" i="11"/>
  <c r="P60" i="11"/>
  <c r="P61" i="11"/>
  <c r="P64" i="11"/>
  <c r="P65" i="11"/>
  <c r="P66" i="11"/>
  <c r="P67" i="11"/>
  <c r="P68" i="11"/>
  <c r="P69" i="11"/>
  <c r="P70" i="11"/>
  <c r="P72" i="11"/>
  <c r="P73" i="11"/>
  <c r="P74" i="11"/>
  <c r="P75" i="11"/>
  <c r="P46" i="11" s="1"/>
  <c r="P76" i="11"/>
  <c r="P78" i="11"/>
  <c r="P80" i="11"/>
  <c r="P81" i="11"/>
  <c r="P82" i="11"/>
  <c r="P83" i="11"/>
  <c r="P84" i="11"/>
  <c r="P86" i="11"/>
  <c r="P87" i="11"/>
  <c r="P48" i="11"/>
  <c r="P39" i="11"/>
  <c r="P43" i="11"/>
  <c r="L191" i="11"/>
  <c r="L113" i="11"/>
  <c r="L112" i="11" s="1"/>
  <c r="L108" i="11" s="1"/>
  <c r="L116" i="11" s="1"/>
  <c r="L119" i="11" s="1"/>
  <c r="K113" i="11"/>
  <c r="K112" i="11" s="1"/>
  <c r="K108" i="11" s="1"/>
  <c r="K116" i="11" s="1"/>
  <c r="K119" i="11" s="1"/>
  <c r="L109" i="11"/>
  <c r="L107" i="11" s="1"/>
  <c r="L115" i="11" s="1"/>
  <c r="K109" i="11"/>
  <c r="K107" i="11" s="1"/>
  <c r="K115" i="11" s="1"/>
  <c r="L102" i="11"/>
  <c r="K102" i="11"/>
  <c r="L99" i="11"/>
  <c r="L98" i="11" s="1"/>
  <c r="L97" i="11" s="1"/>
  <c r="K99" i="11"/>
  <c r="K98" i="11" s="1"/>
  <c r="K97" i="11" s="1"/>
  <c r="L94" i="11"/>
  <c r="L93" i="11" s="1"/>
  <c r="K94" i="11"/>
  <c r="K93" i="11" s="1"/>
  <c r="L46" i="11"/>
  <c r="K46" i="11"/>
  <c r="L45" i="11"/>
  <c r="K45" i="11"/>
  <c r="K89" i="11" s="1"/>
  <c r="K120" i="11" s="1"/>
  <c r="L88" i="11"/>
  <c r="K88" i="11"/>
  <c r="L26" i="11"/>
  <c r="K26" i="11"/>
  <c r="L18" i="11"/>
  <c r="K18" i="11"/>
  <c r="L4" i="11"/>
  <c r="K4" i="11"/>
  <c r="J191" i="11"/>
  <c r="J113" i="11"/>
  <c r="J112" i="11" s="1"/>
  <c r="J108" i="11" s="1"/>
  <c r="J116" i="11" s="1"/>
  <c r="J119" i="11" s="1"/>
  <c r="J109" i="11"/>
  <c r="J107" i="11" s="1"/>
  <c r="J115" i="11" s="1"/>
  <c r="J93" i="11"/>
  <c r="J46" i="11"/>
  <c r="J90" i="11" s="1"/>
  <c r="J121" i="11" s="1"/>
  <c r="J26" i="11"/>
  <c r="J18" i="11"/>
  <c r="J4" i="11"/>
  <c r="O191" i="11"/>
  <c r="P36" i="11" l="1"/>
  <c r="U88" i="11"/>
  <c r="P44" i="11"/>
  <c r="S192" i="11"/>
  <c r="R124" i="11"/>
  <c r="M161" i="11"/>
  <c r="R161" i="11" s="1"/>
  <c r="R162" i="11"/>
  <c r="M102" i="11"/>
  <c r="Q190" i="11"/>
  <c r="Q192" i="11" s="1"/>
  <c r="M99" i="11"/>
  <c r="L90" i="11"/>
  <c r="L89" i="11"/>
  <c r="L120" i="11" s="1"/>
  <c r="K90" i="11"/>
  <c r="K121" i="11" s="1"/>
  <c r="K91" i="11"/>
  <c r="M189" i="11"/>
  <c r="M190" i="11"/>
  <c r="J188" i="11"/>
  <c r="J192" i="11" s="1"/>
  <c r="P171" i="11"/>
  <c r="M191" i="11"/>
  <c r="M4" i="11"/>
  <c r="L188" i="11"/>
  <c r="L192" i="11" s="1"/>
  <c r="K188" i="11"/>
  <c r="K192" i="11" s="1"/>
  <c r="K117" i="11"/>
  <c r="L117" i="11"/>
  <c r="L104" i="11"/>
  <c r="L105" i="11" s="1"/>
  <c r="K104" i="11"/>
  <c r="K105" i="11" s="1"/>
  <c r="L3" i="11"/>
  <c r="L33" i="11" s="1"/>
  <c r="L34" i="11" s="1"/>
  <c r="K3" i="11"/>
  <c r="K33" i="11" s="1"/>
  <c r="K34" i="11" s="1"/>
  <c r="N188" i="11"/>
  <c r="J117" i="11"/>
  <c r="J88" i="11"/>
  <c r="J91" i="11" s="1"/>
  <c r="J3" i="11"/>
  <c r="O188" i="11"/>
  <c r="Q45" i="11"/>
  <c r="Q46" i="11"/>
  <c r="O45" i="11"/>
  <c r="O89" i="11" s="1"/>
  <c r="O46" i="11"/>
  <c r="M90" i="11"/>
  <c r="M45" i="11"/>
  <c r="T94" i="11"/>
  <c r="S94" i="11"/>
  <c r="Q94" i="11"/>
  <c r="O94" i="11"/>
  <c r="N94" i="11"/>
  <c r="M94" i="11"/>
  <c r="M93" i="11" s="1"/>
  <c r="R95" i="11"/>
  <c r="P95" i="11"/>
  <c r="P101" i="11"/>
  <c r="P103" i="11"/>
  <c r="P102" i="11" s="1"/>
  <c r="T102" i="11"/>
  <c r="S102" i="11"/>
  <c r="Q102" i="11"/>
  <c r="O102" i="11"/>
  <c r="N102" i="11"/>
  <c r="S26" i="11"/>
  <c r="Q26" i="11"/>
  <c r="O26" i="11"/>
  <c r="M26" i="11"/>
  <c r="S18" i="11"/>
  <c r="Q18" i="11"/>
  <c r="O18" i="11"/>
  <c r="M18" i="11"/>
  <c r="S4" i="11"/>
  <c r="Q4" i="11"/>
  <c r="O4" i="11"/>
  <c r="P137" i="11" l="1"/>
  <c r="P126" i="11" s="1"/>
  <c r="P190" i="11" s="1"/>
  <c r="P127" i="11"/>
  <c r="P138" i="11"/>
  <c r="L91" i="11"/>
  <c r="J33" i="11"/>
  <c r="J34" i="11" s="1"/>
  <c r="M98" i="11"/>
  <c r="L121" i="11"/>
  <c r="M188" i="11"/>
  <c r="R188" i="11" s="1"/>
  <c r="K118" i="11"/>
  <c r="K122" i="11" s="1"/>
  <c r="K193" i="11" s="1"/>
  <c r="L118" i="11"/>
  <c r="O93" i="11"/>
  <c r="O88" i="11"/>
  <c r="N88" i="11"/>
  <c r="P27" i="11"/>
  <c r="R42" i="11"/>
  <c r="R43" i="11"/>
  <c r="M89" i="11"/>
  <c r="M120" i="11" s="1"/>
  <c r="N45" i="11"/>
  <c r="N89" i="11" s="1"/>
  <c r="N120" i="11" s="1"/>
  <c r="O120" i="11"/>
  <c r="Q89" i="11"/>
  <c r="S45" i="11"/>
  <c r="S89" i="11" s="1"/>
  <c r="T45" i="11"/>
  <c r="T89" i="11" s="1"/>
  <c r="M121" i="11"/>
  <c r="N46" i="11"/>
  <c r="N90" i="11" s="1"/>
  <c r="N121" i="11" s="1"/>
  <c r="O90" i="11"/>
  <c r="O121" i="11" s="1"/>
  <c r="S46" i="11"/>
  <c r="S90" i="11" s="1"/>
  <c r="S121" i="11" s="1"/>
  <c r="T46" i="11"/>
  <c r="T90" i="11" s="1"/>
  <c r="T121" i="11" s="1"/>
  <c r="P166" i="11"/>
  <c r="P165" i="11" s="1"/>
  <c r="P167" i="11"/>
  <c r="P170" i="11"/>
  <c r="P169" i="11" s="1"/>
  <c r="P173" i="11"/>
  <c r="P172" i="11" s="1"/>
  <c r="P176" i="11"/>
  <c r="P175" i="11" s="1"/>
  <c r="P178" i="11"/>
  <c r="P177" i="11" s="1"/>
  <c r="P180" i="11"/>
  <c r="P179" i="11" s="1"/>
  <c r="P182" i="11"/>
  <c r="P181" i="11" s="1"/>
  <c r="P184" i="11"/>
  <c r="P183" i="11" s="1"/>
  <c r="P187" i="11"/>
  <c r="P186" i="11" s="1"/>
  <c r="P164" i="11"/>
  <c r="P163" i="11" s="1"/>
  <c r="P130" i="11"/>
  <c r="P133" i="11"/>
  <c r="P132" i="11" s="1"/>
  <c r="P139" i="11"/>
  <c r="P136" i="11" s="1"/>
  <c r="P142" i="11"/>
  <c r="P149" i="11"/>
  <c r="P146" i="11" s="1"/>
  <c r="P153" i="11"/>
  <c r="P152" i="11" s="1"/>
  <c r="P157" i="11"/>
  <c r="P156" i="11" s="1"/>
  <c r="P129" i="11"/>
  <c r="P128" i="11" s="1"/>
  <c r="S109" i="11"/>
  <c r="S115" i="11" s="1"/>
  <c r="P110" i="11"/>
  <c r="R48" i="11"/>
  <c r="P96" i="11"/>
  <c r="T93" i="11"/>
  <c r="S93" i="11"/>
  <c r="Q109" i="11"/>
  <c r="Q115" i="11" s="1"/>
  <c r="Q93" i="11"/>
  <c r="N93" i="11"/>
  <c r="N104" i="11" s="1"/>
  <c r="Q99" i="11"/>
  <c r="Q98" i="11" s="1"/>
  <c r="Q97" i="11" s="1"/>
  <c r="N4" i="11"/>
  <c r="R100" i="11"/>
  <c r="R75" i="11"/>
  <c r="O109" i="11"/>
  <c r="O107" i="11" s="1"/>
  <c r="M109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7" i="11"/>
  <c r="R86" i="11"/>
  <c r="R85" i="11"/>
  <c r="R84" i="11"/>
  <c r="R83" i="11"/>
  <c r="R82" i="11"/>
  <c r="R81" i="11"/>
  <c r="R80" i="11"/>
  <c r="R78" i="11"/>
  <c r="R77" i="11"/>
  <c r="R76" i="11"/>
  <c r="R74" i="11"/>
  <c r="R73" i="11"/>
  <c r="R72" i="11"/>
  <c r="R70" i="11"/>
  <c r="R69" i="11"/>
  <c r="R68" i="11"/>
  <c r="R67" i="11"/>
  <c r="R66" i="11"/>
  <c r="R65" i="11"/>
  <c r="R64" i="11"/>
  <c r="R61" i="11"/>
  <c r="R59" i="11"/>
  <c r="R58" i="11"/>
  <c r="R57" i="11"/>
  <c r="R56" i="11"/>
  <c r="R55" i="11"/>
  <c r="R54" i="11"/>
  <c r="R53" i="11"/>
  <c r="R52" i="11"/>
  <c r="R51" i="11"/>
  <c r="R49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100" i="11"/>
  <c r="R114" i="11"/>
  <c r="R111" i="11"/>
  <c r="R101" i="11"/>
  <c r="T109" i="11"/>
  <c r="T107" i="11" s="1"/>
  <c r="R103" i="11"/>
  <c r="O99" i="11"/>
  <c r="O98" i="11" s="1"/>
  <c r="O97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9" i="11"/>
  <c r="N115" i="11" s="1"/>
  <c r="N99" i="11"/>
  <c r="N113" i="11"/>
  <c r="N112" i="11" s="1"/>
  <c r="N108" i="11" s="1"/>
  <c r="P114" i="11"/>
  <c r="T113" i="11"/>
  <c r="T112" i="11" s="1"/>
  <c r="T108" i="11" s="1"/>
  <c r="T116" i="11" s="1"/>
  <c r="S113" i="11"/>
  <c r="S112" i="11" s="1"/>
  <c r="S108" i="11" s="1"/>
  <c r="S116" i="11" s="1"/>
  <c r="Q113" i="11"/>
  <c r="O113" i="11"/>
  <c r="O112" i="11" s="1"/>
  <c r="O108" i="11" s="1"/>
  <c r="O116" i="11" s="1"/>
  <c r="O119" i="11" s="1"/>
  <c r="M113" i="11"/>
  <c r="M112" i="11" s="1"/>
  <c r="T99" i="11"/>
  <c r="T98" i="11" s="1"/>
  <c r="T97" i="11" s="1"/>
  <c r="S99" i="11"/>
  <c r="S98" i="11" s="1"/>
  <c r="S97" i="11" s="1"/>
  <c r="R38" i="11"/>
  <c r="R39" i="11"/>
  <c r="R93" i="11" l="1"/>
  <c r="P162" i="11"/>
  <c r="P161" i="11" s="1"/>
  <c r="P191" i="11"/>
  <c r="P125" i="11"/>
  <c r="M97" i="11"/>
  <c r="R97" i="11" s="1"/>
  <c r="J104" i="11"/>
  <c r="L122" i="11"/>
  <c r="L193" i="11" s="1"/>
  <c r="P189" i="11"/>
  <c r="P124" i="11"/>
  <c r="M107" i="11"/>
  <c r="R109" i="11"/>
  <c r="T104" i="11"/>
  <c r="T105" i="11" s="1"/>
  <c r="S104" i="11"/>
  <c r="S105" i="11" s="1"/>
  <c r="Q104" i="11"/>
  <c r="R189" i="11"/>
  <c r="O104" i="11"/>
  <c r="O105" i="11" s="1"/>
  <c r="P94" i="11"/>
  <c r="P93" i="11" s="1"/>
  <c r="P18" i="11"/>
  <c r="P4" i="11"/>
  <c r="P26" i="11"/>
  <c r="Q88" i="11"/>
  <c r="S88" i="11"/>
  <c r="T88" i="11"/>
  <c r="T91" i="11" s="1"/>
  <c r="R46" i="11"/>
  <c r="O115" i="11"/>
  <c r="O117" i="11" s="1"/>
  <c r="P88" i="11"/>
  <c r="R45" i="11"/>
  <c r="Q90" i="11"/>
  <c r="Q121" i="11" s="1"/>
  <c r="R121" i="11" s="1"/>
  <c r="N91" i="11"/>
  <c r="R94" i="11"/>
  <c r="P45" i="11"/>
  <c r="P90" i="11"/>
  <c r="P121" i="11" s="1"/>
  <c r="R18" i="11"/>
  <c r="N192" i="11"/>
  <c r="O3" i="11"/>
  <c r="O33" i="11" s="1"/>
  <c r="O34" i="11" s="1"/>
  <c r="N116" i="11"/>
  <c r="N119" i="11" s="1"/>
  <c r="P99" i="11"/>
  <c r="P98" i="11" s="1"/>
  <c r="P97" i="11" s="1"/>
  <c r="N3" i="11"/>
  <c r="N33" i="11" s="1"/>
  <c r="N34" i="11" s="1"/>
  <c r="R113" i="11"/>
  <c r="N107" i="11"/>
  <c r="R191" i="11"/>
  <c r="M192" i="11"/>
  <c r="R190" i="11"/>
  <c r="T115" i="11"/>
  <c r="S107" i="11"/>
  <c r="Q107" i="11"/>
  <c r="R99" i="11"/>
  <c r="R36" i="11"/>
  <c r="O91" i="11"/>
  <c r="M88" i="11"/>
  <c r="M91" i="11" s="1"/>
  <c r="T33" i="11"/>
  <c r="S3" i="11"/>
  <c r="S33" i="11" s="1"/>
  <c r="S34" i="11" s="1"/>
  <c r="Q3" i="11"/>
  <c r="R26" i="11"/>
  <c r="M3" i="11"/>
  <c r="M33" i="11" s="1"/>
  <c r="M34" i="11" s="1"/>
  <c r="T120" i="11"/>
  <c r="S120" i="11"/>
  <c r="R98" i="11"/>
  <c r="N105" i="11"/>
  <c r="S117" i="11"/>
  <c r="S119" i="11"/>
  <c r="M108" i="11"/>
  <c r="M116" i="11" s="1"/>
  <c r="M119" i="11" s="1"/>
  <c r="P112" i="11"/>
  <c r="P108" i="11" s="1"/>
  <c r="P116" i="11" s="1"/>
  <c r="P119" i="11" s="1"/>
  <c r="T119" i="11"/>
  <c r="Q120" i="11"/>
  <c r="R120" i="11" s="1"/>
  <c r="R89" i="11"/>
  <c r="R4" i="11"/>
  <c r="P109" i="11"/>
  <c r="P113" i="11"/>
  <c r="Q112" i="11"/>
  <c r="R192" i="11" l="1"/>
  <c r="S91" i="11"/>
  <c r="S118" i="11"/>
  <c r="S122" i="11" s="1"/>
  <c r="S193" i="11" s="1"/>
  <c r="T34" i="11"/>
  <c r="T118" i="11"/>
  <c r="T122" i="11" s="1"/>
  <c r="R107" i="11"/>
  <c r="J105" i="11"/>
  <c r="J118" i="11"/>
  <c r="J122" i="11" s="1"/>
  <c r="J193" i="11" s="1"/>
  <c r="J194" i="11" s="1"/>
  <c r="M115" i="11"/>
  <c r="R115" i="11" s="1"/>
  <c r="P188" i="11"/>
  <c r="P192" i="11" s="1"/>
  <c r="T192" i="11"/>
  <c r="O192" i="11"/>
  <c r="M104" i="11"/>
  <c r="M105" i="11" s="1"/>
  <c r="P104" i="11"/>
  <c r="P105" i="11" s="1"/>
  <c r="Q91" i="11"/>
  <c r="R91" i="11" s="1"/>
  <c r="P89" i="11"/>
  <c r="P120" i="11" s="1"/>
  <c r="R90" i="11"/>
  <c r="R3" i="11"/>
  <c r="N117" i="11"/>
  <c r="R102" i="11"/>
  <c r="T117" i="11"/>
  <c r="P3" i="11"/>
  <c r="P33" i="11" s="1"/>
  <c r="P34" i="11" s="1"/>
  <c r="R88" i="11"/>
  <c r="Q33" i="11"/>
  <c r="R33" i="11" s="1"/>
  <c r="O118" i="11"/>
  <c r="O122" i="11" s="1"/>
  <c r="Q105" i="11"/>
  <c r="R112" i="11"/>
  <c r="Q108" i="11"/>
  <c r="P115" i="11"/>
  <c r="P107" i="11"/>
  <c r="N118" i="11"/>
  <c r="N122" i="11" s="1"/>
  <c r="N193" i="11" s="1"/>
  <c r="M117" i="11" l="1"/>
  <c r="T193" i="11"/>
  <c r="Q118" i="11"/>
  <c r="Q34" i="11"/>
  <c r="R34" i="11" s="1"/>
  <c r="R104" i="11"/>
  <c r="O193" i="11"/>
  <c r="M118" i="11"/>
  <c r="R105" i="11"/>
  <c r="P91" i="11"/>
  <c r="R108" i="11"/>
  <c r="Q116" i="11"/>
  <c r="P117" i="11"/>
  <c r="P118" i="11"/>
  <c r="P122" i="11" s="1"/>
  <c r="P193" i="11" s="1"/>
  <c r="M122" i="11" l="1"/>
  <c r="R118" i="11"/>
  <c r="Q119" i="11"/>
  <c r="R116" i="11"/>
  <c r="Q117" i="11"/>
  <c r="R117" i="11" s="1"/>
  <c r="M193" i="11" l="1"/>
  <c r="R119" i="11"/>
  <c r="Q122" i="11"/>
  <c r="Q193" i="11" s="1"/>
  <c r="R122" i="11" l="1"/>
  <c r="R193" i="11"/>
</calcChain>
</file>

<file path=xl/sharedStrings.xml><?xml version="1.0" encoding="utf-8"?>
<sst xmlns="http://schemas.openxmlformats.org/spreadsheetml/2006/main" count="1300" uniqueCount="250">
  <si>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</si>
  <si>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</si>
  <si>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</si>
  <si>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</si>
  <si>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</si>
  <si>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</si>
  <si>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</si>
  <si>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</si>
  <si>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</si>
  <si>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</si>
  <si>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</si>
  <si>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</si>
  <si>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</si>
  <si>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</si>
  <si>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</si>
  <si>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</si>
  <si>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</si>
  <si>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</si>
  <si>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</si>
  <si>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</si>
  <si>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</si>
  <si>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</si>
  <si>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</si>
  <si>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</si>
  <si>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</si>
  <si>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</si>
  <si>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</si>
  <si>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</si>
  <si>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</si>
  <si>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</si>
  <si>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</si>
  <si>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</si>
  <si>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</si>
  <si>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</si>
  <si>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</si>
  <si>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</si>
  <si>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</si>
  <si>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</si>
  <si>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</si>
  <si>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</si>
  <si>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</si>
  <si>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</si>
  <si>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</si>
  <si>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</si>
  <si>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</si>
  <si>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</si>
  <si>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</si>
  <si>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</si>
  <si>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</si>
  <si>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</si>
  <si>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</si>
  <si>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</si>
  <si>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</si>
  <si>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</si>
  <si>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</si>
  <si>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</si>
  <si>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</si>
  <si>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</si>
  <si>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</si>
  <si>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</si>
  <si>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</si>
  <si>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</si>
  <si>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</si>
  <si>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</si>
  <si>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</si>
  <si>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</si>
  <si>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</si>
  <si>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</si>
  <si>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</si>
  <si>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</si>
  <si>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</si>
  <si>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</si>
  <si>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</si>
  <si>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</si>
  <si>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</si>
  <si>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</si>
  <si>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</si>
  <si>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</si>
  <si>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</si>
  <si>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</si>
  <si>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</si>
  <si>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</si>
  <si>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</si>
  <si>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</si>
  <si>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</si>
  <si>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</si>
  <si>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</si>
  <si>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</si>
  <si>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</si>
  <si>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</si>
  <si>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</si>
  <si>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</si>
  <si>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</si>
  <si>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</si>
  <si>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</si>
  <si>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</si>
  <si>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</si>
  <si>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</si>
  <si>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</si>
  <si>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</si>
  <si>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</si>
  <si>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</si>
  <si>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</si>
  <si>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</si>
  <si>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</si>
  <si>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</si>
  <si>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</si>
  <si>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</si>
  <si>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</si>
  <si>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</si>
  <si>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</si>
  <si>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</si>
  <si>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</si>
  <si>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</si>
  <si>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</si>
  <si>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</si>
  <si>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</si>
  <si>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</si>
  <si>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</si>
  <si>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</si>
  <si>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</si>
  <si>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</si>
  <si>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</si>
  <si>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</si>
  <si>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</si>
  <si>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</si>
  <si>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</si>
  <si>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</si>
  <si>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</si>
  <si>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</si>
  <si>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</si>
  <si>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</si>
  <si>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</si>
  <si>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</si>
  <si>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</si>
  <si>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</si>
  <si>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</si>
  <si>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</si>
  <si>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</si>
  <si>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</si>
  <si>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</si>
  <si>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</si>
  <si>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</si>
  <si>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</si>
  <si>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</si>
  <si>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</si>
  <si>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</si>
  <si>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</si>
  <si>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</si>
  <si>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</si>
  <si>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SERVICIOS PROFESIONALES, CIENTÍFICOS Y TÉCNICOS (EXCEPTO LOS SERVICIOS DE INVESTIGACION, URBANISMO, JURÍDICOS Y DE CONTABILIDAD)</t>
  </si>
  <si>
    <t>SERVICIOS RECREATIVOS, CULTURALES Y DEPORTIVOS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</si>
  <si>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</si>
  <si>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</si>
  <si>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</si>
  <si>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</si>
  <si>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</si>
  <si>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</si>
  <si>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</si>
  <si>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</si>
  <si>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</si>
  <si>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</si>
  <si>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</si>
  <si>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</si>
  <si>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</si>
  <si>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</si>
  <si>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</si>
  <si>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</si>
  <si>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</si>
  <si>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</si>
  <si>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</si>
  <si>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</si>
  <si>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</si>
  <si>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</si>
  <si>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</si>
  <si>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</si>
  <si>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</si>
  <si>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</si>
  <si>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</si>
  <si>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</si>
  <si>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</si>
  <si>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</si>
  <si>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</si>
  <si>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</si>
  <si>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</si>
  <si>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</si>
  <si>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</si>
  <si>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</si>
  <si>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</si>
  <si>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</si>
  <si>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</si>
  <si>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</si>
  <si>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</si>
  <si>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</si>
  <si>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</si>
  <si>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</si>
  <si>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</si>
  <si>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</si>
  <si>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</si>
  <si>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</si>
  <si>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</si>
  <si>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</si>
  <si>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</si>
  <si>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</si>
  <si>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</si>
  <si>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</si>
  <si>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</si>
  <si>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</si>
  <si>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</si>
  <si>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</si>
  <si>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</si>
  <si>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</si>
  <si>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</si>
  <si>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</si>
  <si>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</si>
  <si>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</si>
  <si>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</si>
  <si>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</si>
  <si>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</si>
  <si>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</si>
  <si>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</si>
  <si>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</si>
  <si>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</si>
  <si>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</si>
  <si>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</si>
  <si>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</si>
  <si>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</si>
  <si>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</si>
  <si>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</si>
  <si>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</si>
  <si>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</si>
  <si>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</si>
  <si>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</si>
  <si>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</si>
  <si>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</si>
  <si>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</si>
  <si>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</si>
  <si>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</si>
  <si>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</si>
  <si>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</si>
  <si>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</si>
  <si>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</si>
  <si>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</si>
  <si>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</si>
  <si>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PIEDRA, ARENA Y ARCILLA</t>
  </si>
  <si>
    <t xml:space="preserve">Reviso: Cesar Augusto Acuña Reyes- coordinador- Grupo Nacional de Gestión Presupuestal </t>
  </si>
  <si>
    <t>APROP. APLAZADA</t>
  </si>
  <si>
    <t>G</t>
  </si>
  <si>
    <t>Elaboro: Martha C. Florez Giraldo - Profes. Univer. Grupo Nacional de Gestión Presupuestal</t>
  </si>
  <si>
    <t>Fecha:Agosto-02-2024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</si>
</sst>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4\INFORMES%20DE%20EJECUCION\ABRIL-30-2024\DECRETO%2030%20DE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S39">
            <v>430691975679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7"/>
  <sheetViews>
    <sheetView showGridLines="0" tabSelected="1" zoomScale="140" zoomScaleNormal="140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J3" sqref="J3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2" t="s">
        <v>247</v>
      </c>
      <c r="B1" s="112"/>
      <c r="C1" s="112"/>
      <c r="D1" s="112"/>
      <c r="E1" s="112"/>
      <c r="F1" s="113"/>
      <c r="G1" s="87" t="s">
        <v>0</v>
      </c>
      <c r="H1" s="87" t="s">
        <v>1</v>
      </c>
      <c r="I1" s="87" t="s">
        <v>2</v>
      </c>
      <c r="J1" s="98" t="s">
        <v>160</v>
      </c>
      <c r="K1" s="98" t="s">
        <v>161</v>
      </c>
      <c r="L1" s="98" t="s">
        <v>162</v>
      </c>
      <c r="M1" s="87" t="s">
        <v>33</v>
      </c>
      <c r="N1" s="87" t="s">
        <v>246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09" t="s">
        <v>88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5700000000</v>
      </c>
      <c r="L3" s="104">
        <f t="shared" si="0"/>
        <v>5700000000</v>
      </c>
      <c r="M3" s="104">
        <f>M4+M18+M26</f>
        <v>273375100000</v>
      </c>
      <c r="N3" s="37">
        <f>N4+N18+N26</f>
        <v>0</v>
      </c>
      <c r="O3" s="37">
        <f>O4+O18+O26</f>
        <v>156397125921</v>
      </c>
      <c r="P3" s="104">
        <f>P4+P18+P26</f>
        <v>116977974079</v>
      </c>
      <c r="Q3" s="37">
        <f>Q4+Q18+Q26</f>
        <v>156397125921</v>
      </c>
      <c r="R3" s="38">
        <f t="shared" ref="R3:R34" si="1">IF(Q3&gt;1,Q3/(M3-N3),0)</f>
        <v>0.57209718778703689</v>
      </c>
      <c r="S3" s="37">
        <f>S4+S18+S26</f>
        <v>152145553388</v>
      </c>
      <c r="T3" s="39">
        <f>T4+T18+T26</f>
        <v>152145553388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500000000</v>
      </c>
      <c r="L4" s="24">
        <f t="shared" si="2"/>
        <v>500000000</v>
      </c>
      <c r="M4" s="24">
        <f>SUM(M5:M17)</f>
        <v>185612500000</v>
      </c>
      <c r="N4" s="24">
        <f>SUM(N5:N17)</f>
        <v>0</v>
      </c>
      <c r="O4" s="24">
        <f>SUM(O5:O17)</f>
        <v>104766665765</v>
      </c>
      <c r="P4" s="24">
        <f>SUM(P5:P17)</f>
        <v>80845834235</v>
      </c>
      <c r="Q4" s="24">
        <f>SUM(Q5:Q17)</f>
        <v>104766665765</v>
      </c>
      <c r="R4" s="97">
        <f t="shared" si="1"/>
        <v>0.5644375554717489</v>
      </c>
      <c r="S4" s="14">
        <f>SUM(S5:S17)</f>
        <v>104766665765</v>
      </c>
      <c r="T4" s="33">
        <f>SUM(T5:T17)</f>
        <v>104766665765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132596545204</v>
      </c>
      <c r="K5" s="9">
        <v>0</v>
      </c>
      <c r="L5" s="27">
        <v>0</v>
      </c>
      <c r="M5" s="27">
        <f>J5+K5-L5</f>
        <v>132596545204</v>
      </c>
      <c r="N5" s="9">
        <v>0</v>
      </c>
      <c r="O5" s="9">
        <v>81405050634</v>
      </c>
      <c r="P5" s="27">
        <f t="shared" ref="P5:P17" si="3">+M5-O5-N5</f>
        <v>51191494570</v>
      </c>
      <c r="Q5" s="9">
        <v>81405050634</v>
      </c>
      <c r="R5" s="25">
        <f>IF(Q5&gt;1,Q5/(M5-N5),0)</f>
        <v>0.61393040451211001</v>
      </c>
      <c r="S5" s="9">
        <v>81405050634</v>
      </c>
      <c r="T5" s="10">
        <v>81405050634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1640783031</v>
      </c>
      <c r="P6" s="27">
        <f t="shared" si="3"/>
        <v>1151432115</v>
      </c>
      <c r="Q6" s="9">
        <v>1640783031</v>
      </c>
      <c r="R6" s="25">
        <f t="shared" si="1"/>
        <v>0.58762772394187135</v>
      </c>
      <c r="S6" s="9">
        <v>1640783031</v>
      </c>
      <c r="T6" s="10">
        <v>1640783031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832584780</v>
      </c>
      <c r="P7" s="27">
        <f t="shared" si="3"/>
        <v>790767647</v>
      </c>
      <c r="Q7" s="9">
        <v>832584780</v>
      </c>
      <c r="R7" s="25">
        <f t="shared" si="1"/>
        <v>0.51287986893803439</v>
      </c>
      <c r="S7" s="9">
        <v>832584780</v>
      </c>
      <c r="T7" s="10">
        <v>832584780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151763609</v>
      </c>
      <c r="P8" s="27">
        <f t="shared" si="3"/>
        <v>132086764</v>
      </c>
      <c r="Q8" s="9">
        <v>151763609</v>
      </c>
      <c r="R8" s="25">
        <f t="shared" si="1"/>
        <v>0.53466059387563325</v>
      </c>
      <c r="S8" s="9">
        <v>151763609</v>
      </c>
      <c r="T8" s="10">
        <v>151763609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263422800</v>
      </c>
      <c r="P9" s="27">
        <f t="shared" si="3"/>
        <v>210734677</v>
      </c>
      <c r="Q9" s="9">
        <v>263422800</v>
      </c>
      <c r="R9" s="25">
        <f t="shared" si="1"/>
        <v>0.55555973021174143</v>
      </c>
      <c r="S9" s="9">
        <v>263422800</v>
      </c>
      <c r="T9" s="10">
        <v>263422800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500000000</v>
      </c>
      <c r="L10" s="27">
        <v>0</v>
      </c>
      <c r="M10" s="27">
        <f t="shared" si="4"/>
        <v>6795269334</v>
      </c>
      <c r="N10" s="9">
        <v>0</v>
      </c>
      <c r="O10" s="9">
        <v>6518040038</v>
      </c>
      <c r="P10" s="27">
        <f t="shared" si="3"/>
        <v>277229296</v>
      </c>
      <c r="Q10" s="9">
        <v>6518040038</v>
      </c>
      <c r="R10" s="25">
        <f t="shared" si="1"/>
        <v>0.95920260369770949</v>
      </c>
      <c r="S10" s="9">
        <v>6518040038</v>
      </c>
      <c r="T10" s="10">
        <v>6518040038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4502303221</v>
      </c>
      <c r="K11" s="9">
        <v>0</v>
      </c>
      <c r="L11" s="27">
        <v>0</v>
      </c>
      <c r="M11" s="27">
        <f t="shared" si="4"/>
        <v>4502303221</v>
      </c>
      <c r="N11" s="9">
        <v>0</v>
      </c>
      <c r="O11" s="9">
        <v>3157136764</v>
      </c>
      <c r="P11" s="27">
        <f t="shared" si="3"/>
        <v>1345166457</v>
      </c>
      <c r="Q11" s="9">
        <v>3157136764</v>
      </c>
      <c r="R11" s="25">
        <f t="shared" si="1"/>
        <v>0.7012270407009088</v>
      </c>
      <c r="S11" s="9">
        <v>3157136764</v>
      </c>
      <c r="T11" s="10">
        <v>3157136764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1033049061</v>
      </c>
      <c r="K12" s="9">
        <v>0</v>
      </c>
      <c r="L12" s="27">
        <v>0</v>
      </c>
      <c r="M12" s="27">
        <f t="shared" si="4"/>
        <v>1033049061</v>
      </c>
      <c r="N12" s="9">
        <v>0</v>
      </c>
      <c r="O12" s="9">
        <v>582981096</v>
      </c>
      <c r="P12" s="27">
        <f t="shared" si="3"/>
        <v>450067965</v>
      </c>
      <c r="Q12" s="9">
        <v>582981096</v>
      </c>
      <c r="R12" s="25">
        <f t="shared" si="1"/>
        <v>0.56433050278916042</v>
      </c>
      <c r="S12" s="9">
        <v>582981096</v>
      </c>
      <c r="T12" s="10">
        <v>582981096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0</v>
      </c>
      <c r="L13" s="27">
        <v>500000000</v>
      </c>
      <c r="M13" s="27">
        <f t="shared" si="4"/>
        <v>14782670668</v>
      </c>
      <c r="N13" s="9">
        <v>0</v>
      </c>
      <c r="O13" s="9">
        <v>144746847</v>
      </c>
      <c r="P13" s="27">
        <f t="shared" si="3"/>
        <v>14637923821</v>
      </c>
      <c r="Q13" s="9">
        <v>144746847</v>
      </c>
      <c r="R13" s="25">
        <f t="shared" si="1"/>
        <v>9.7916574244823733E-3</v>
      </c>
      <c r="S13" s="9">
        <v>144746847</v>
      </c>
      <c r="T13" s="10">
        <v>144746847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3463595398</v>
      </c>
      <c r="P14" s="27">
        <f t="shared" si="3"/>
        <v>4525638118</v>
      </c>
      <c r="Q14" s="9">
        <v>3463595398</v>
      </c>
      <c r="R14" s="25">
        <f t="shared" si="1"/>
        <v>0.43353287784910455</v>
      </c>
      <c r="S14" s="9">
        <v>3463595398</v>
      </c>
      <c r="T14" s="51">
        <v>3463595398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21201905</v>
      </c>
      <c r="P15" s="27">
        <f t="shared" si="3"/>
        <v>20025573</v>
      </c>
      <c r="Q15" s="9">
        <v>21201905</v>
      </c>
      <c r="R15" s="25">
        <f t="shared" si="1"/>
        <v>0.51426635895603412</v>
      </c>
      <c r="S15" s="9">
        <v>21201905</v>
      </c>
      <c r="T15" s="51">
        <v>21201905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9842917</v>
      </c>
      <c r="P16" s="27">
        <f t="shared" si="3"/>
        <v>7585835</v>
      </c>
      <c r="Q16" s="9">
        <v>9842917</v>
      </c>
      <c r="R16" s="25">
        <f t="shared" si="1"/>
        <v>0.56475168158913502</v>
      </c>
      <c r="S16" s="9">
        <v>9842917</v>
      </c>
      <c r="T16" s="51">
        <v>9842917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12681197343</v>
      </c>
      <c r="K17" s="9">
        <v>0</v>
      </c>
      <c r="L17" s="27">
        <v>0</v>
      </c>
      <c r="M17" s="27">
        <f t="shared" si="4"/>
        <v>12681197343</v>
      </c>
      <c r="N17" s="9">
        <v>0</v>
      </c>
      <c r="O17" s="9">
        <v>6575515946</v>
      </c>
      <c r="P17" s="27">
        <f t="shared" si="3"/>
        <v>6105681397</v>
      </c>
      <c r="Q17" s="9">
        <v>6575515946</v>
      </c>
      <c r="R17" s="25">
        <f t="shared" si="1"/>
        <v>0.51852484967672818</v>
      </c>
      <c r="S17" s="27">
        <v>6575515946</v>
      </c>
      <c r="T17" s="51">
        <v>6575515946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5200000000</v>
      </c>
      <c r="L18" s="24">
        <f t="shared" si="5"/>
        <v>5200000000</v>
      </c>
      <c r="M18" s="24">
        <f>SUM(M19:M25)</f>
        <v>74102900000</v>
      </c>
      <c r="N18" s="14">
        <f>SUM(N19:N32)</f>
        <v>0</v>
      </c>
      <c r="O18" s="14">
        <f>SUM(O19:O25)</f>
        <v>44340324679</v>
      </c>
      <c r="P18" s="24">
        <f>SUM(P19:P25)</f>
        <v>29762575321</v>
      </c>
      <c r="Q18" s="14">
        <f>SUM(Q19:Q25)</f>
        <v>44340324679</v>
      </c>
      <c r="R18" s="26">
        <f t="shared" si="1"/>
        <v>0.59836153077679821</v>
      </c>
      <c r="S18" s="14">
        <f>SUM(S19:S25)</f>
        <v>40088752146</v>
      </c>
      <c r="T18" s="22">
        <f>SUM(T19:T25)</f>
        <v>40088752146</v>
      </c>
      <c r="U18" s="107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237</v>
      </c>
      <c r="H19" s="7" t="s">
        <v>5</v>
      </c>
      <c r="I19" s="8">
        <v>10</v>
      </c>
      <c r="J19" s="9">
        <v>20955700253</v>
      </c>
      <c r="K19" s="9">
        <v>0</v>
      </c>
      <c r="L19" s="27">
        <v>0</v>
      </c>
      <c r="M19" s="27">
        <f>J19+K19-L19</f>
        <v>20955700253</v>
      </c>
      <c r="N19" s="27">
        <v>0</v>
      </c>
      <c r="O19" s="9">
        <v>12279613400</v>
      </c>
      <c r="P19" s="27">
        <f t="shared" ref="P19:P25" si="6">+M19-O19-N19</f>
        <v>8676086853</v>
      </c>
      <c r="Q19" s="9">
        <v>12279613400</v>
      </c>
      <c r="R19" s="25">
        <f t="shared" si="1"/>
        <v>0.58597962615169885</v>
      </c>
      <c r="S19" s="9">
        <v>12279613400</v>
      </c>
      <c r="T19" s="51">
        <v>12279613400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238</v>
      </c>
      <c r="H20" s="7" t="s">
        <v>5</v>
      </c>
      <c r="I20" s="8">
        <v>10</v>
      </c>
      <c r="J20" s="9">
        <v>14969608987</v>
      </c>
      <c r="K20" s="9">
        <v>0</v>
      </c>
      <c r="L20" s="27">
        <v>0</v>
      </c>
      <c r="M20" s="27">
        <f t="shared" ref="M20:M24" si="7">J20+K20-L20</f>
        <v>14969608987</v>
      </c>
      <c r="N20" s="9">
        <v>0</v>
      </c>
      <c r="O20" s="9">
        <v>8652419700</v>
      </c>
      <c r="P20" s="27">
        <f t="shared" si="6"/>
        <v>6317189287</v>
      </c>
      <c r="Q20" s="9">
        <v>8652419700</v>
      </c>
      <c r="R20" s="25">
        <f t="shared" si="1"/>
        <v>0.57799904509957389</v>
      </c>
      <c r="S20" s="9">
        <v>8652419700</v>
      </c>
      <c r="T20" s="51">
        <v>8652419700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111</v>
      </c>
      <c r="H21" s="7" t="s">
        <v>5</v>
      </c>
      <c r="I21" s="8">
        <v>10</v>
      </c>
      <c r="J21" s="9">
        <v>17568434375</v>
      </c>
      <c r="K21" s="9">
        <v>0</v>
      </c>
      <c r="L21" s="27">
        <v>5200000000</v>
      </c>
      <c r="M21" s="27">
        <f t="shared" si="7"/>
        <v>12368434375</v>
      </c>
      <c r="N21" s="9">
        <v>0</v>
      </c>
      <c r="O21" s="9">
        <v>4715846946</v>
      </c>
      <c r="P21" s="27">
        <f t="shared" si="6"/>
        <v>7652587429</v>
      </c>
      <c r="Q21" s="9">
        <v>4715846946</v>
      </c>
      <c r="R21" s="25">
        <f t="shared" si="1"/>
        <v>0.38128083175442323</v>
      </c>
      <c r="S21" s="9">
        <v>4715846946</v>
      </c>
      <c r="T21" s="51">
        <v>4715846946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239</v>
      </c>
      <c r="H22" s="7" t="s">
        <v>5</v>
      </c>
      <c r="I22" s="8">
        <v>10</v>
      </c>
      <c r="J22" s="9">
        <v>7492866412</v>
      </c>
      <c r="K22" s="9">
        <v>0</v>
      </c>
      <c r="L22" s="27">
        <v>0</v>
      </c>
      <c r="M22" s="27">
        <f t="shared" si="7"/>
        <v>7492866412</v>
      </c>
      <c r="N22" s="9">
        <v>0</v>
      </c>
      <c r="O22" s="9">
        <v>4484625400</v>
      </c>
      <c r="P22" s="27">
        <f t="shared" si="6"/>
        <v>3008241012</v>
      </c>
      <c r="Q22" s="9">
        <v>4484625400</v>
      </c>
      <c r="R22" s="25">
        <f t="shared" si="1"/>
        <v>0.59851933204331098</v>
      </c>
      <c r="S22" s="9">
        <v>4484625400</v>
      </c>
      <c r="T22" s="51">
        <v>4484625400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3401416833</v>
      </c>
      <c r="K23" s="9">
        <v>5200000000</v>
      </c>
      <c r="L23" s="27">
        <v>0</v>
      </c>
      <c r="M23" s="27">
        <f t="shared" si="7"/>
        <v>8601416833</v>
      </c>
      <c r="N23" s="9">
        <v>0</v>
      </c>
      <c r="O23" s="9">
        <v>8601416833</v>
      </c>
      <c r="P23" s="27">
        <f t="shared" si="6"/>
        <v>0</v>
      </c>
      <c r="Q23" s="9">
        <v>8601416833</v>
      </c>
      <c r="R23" s="25">
        <f t="shared" si="1"/>
        <v>1</v>
      </c>
      <c r="S23" s="9">
        <v>4349844300</v>
      </c>
      <c r="T23" s="51">
        <v>4349844300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3363711200</v>
      </c>
      <c r="P24" s="27">
        <f t="shared" si="6"/>
        <v>2554948104</v>
      </c>
      <c r="Q24" s="9">
        <v>3363711200</v>
      </c>
      <c r="R24" s="25">
        <f t="shared" si="1"/>
        <v>0.56832316699268481</v>
      </c>
      <c r="S24" s="9">
        <v>3363711200</v>
      </c>
      <c r="T24" s="51">
        <v>3363711200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0</v>
      </c>
      <c r="L25" s="27">
        <v>0</v>
      </c>
      <c r="M25" s="27">
        <f>J25+K25-L25</f>
        <v>3796213836</v>
      </c>
      <c r="N25" s="9">
        <v>0</v>
      </c>
      <c r="O25" s="9">
        <v>2242691200</v>
      </c>
      <c r="P25" s="27">
        <f t="shared" si="6"/>
        <v>1553522636</v>
      </c>
      <c r="Q25" s="9">
        <v>2242691200</v>
      </c>
      <c r="R25" s="25">
        <f t="shared" si="1"/>
        <v>0.5907705142245312</v>
      </c>
      <c r="S25" s="9">
        <v>2242691200</v>
      </c>
      <c r="T25" s="51">
        <v>2242691200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13659700000</v>
      </c>
      <c r="N26" s="14">
        <v>0</v>
      </c>
      <c r="O26" s="14">
        <f>O27+O28+O29+O30+O31+O32</f>
        <v>7290135477</v>
      </c>
      <c r="P26" s="24">
        <f>P27+P28+P29+P30+P31+P32</f>
        <v>6369564523</v>
      </c>
      <c r="Q26" s="14">
        <f>Q27+Q28+Q29+Q30+Q31+Q32</f>
        <v>7290135477</v>
      </c>
      <c r="R26" s="26">
        <f t="shared" si="1"/>
        <v>0.53369660219477733</v>
      </c>
      <c r="S26" s="24">
        <f>S27+S28+S29+S30+S31+S32</f>
        <v>7290135477</v>
      </c>
      <c r="T26" s="22">
        <f>T27+T28+T29+T30+T31+T32</f>
        <v>7290135477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144</v>
      </c>
      <c r="H27" s="7" t="s">
        <v>5</v>
      </c>
      <c r="I27" s="8" t="s">
        <v>6</v>
      </c>
      <c r="J27" s="9">
        <v>10877487708</v>
      </c>
      <c r="K27" s="9">
        <v>0</v>
      </c>
      <c r="L27" s="27">
        <v>0</v>
      </c>
      <c r="M27" s="27">
        <f>J27+K27-L27</f>
        <v>10877487708</v>
      </c>
      <c r="N27" s="9">
        <v>0</v>
      </c>
      <c r="O27" s="9">
        <v>5468862264</v>
      </c>
      <c r="P27" s="27">
        <f t="shared" ref="P27:P32" si="9">+M27-O27-N27</f>
        <v>5408625444</v>
      </c>
      <c r="Q27" s="9">
        <v>5468862264</v>
      </c>
      <c r="R27" s="25">
        <f t="shared" si="1"/>
        <v>0.50276887557205407</v>
      </c>
      <c r="S27" s="9">
        <v>5468862264</v>
      </c>
      <c r="T27" s="51">
        <v>5468862264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361988938</v>
      </c>
      <c r="K28" s="9">
        <v>0</v>
      </c>
      <c r="L28" s="27">
        <v>0</v>
      </c>
      <c r="M28" s="27">
        <f t="shared" ref="M28:M32" si="10">J28+K28-L28</f>
        <v>361988938</v>
      </c>
      <c r="N28" s="9">
        <v>0</v>
      </c>
      <c r="O28" s="9">
        <v>346872120</v>
      </c>
      <c r="P28" s="27">
        <f t="shared" si="9"/>
        <v>15116818</v>
      </c>
      <c r="Q28" s="9">
        <v>346872120</v>
      </c>
      <c r="R28" s="25">
        <f t="shared" si="1"/>
        <v>0.9582395581380998</v>
      </c>
      <c r="S28" s="9">
        <v>346872120</v>
      </c>
      <c r="T28" s="51">
        <v>346872120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710252976</v>
      </c>
      <c r="K29" s="9">
        <v>0</v>
      </c>
      <c r="L29" s="27">
        <v>0</v>
      </c>
      <c r="M29" s="27">
        <f t="shared" si="10"/>
        <v>710252976</v>
      </c>
      <c r="N29" s="9">
        <v>0</v>
      </c>
      <c r="O29" s="9">
        <v>396947286</v>
      </c>
      <c r="P29" s="27">
        <f t="shared" si="9"/>
        <v>313305690</v>
      </c>
      <c r="Q29" s="9">
        <v>396947286</v>
      </c>
      <c r="R29" s="25">
        <f t="shared" si="1"/>
        <v>0.55888155264836226</v>
      </c>
      <c r="S29" s="9">
        <v>396947286</v>
      </c>
      <c r="T29" s="51">
        <v>396947286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421817495</v>
      </c>
      <c r="K30" s="9">
        <v>0</v>
      </c>
      <c r="L30" s="27">
        <v>0</v>
      </c>
      <c r="M30" s="27">
        <f t="shared" si="10"/>
        <v>421817495</v>
      </c>
      <c r="N30" s="9">
        <v>0</v>
      </c>
      <c r="O30" s="9">
        <v>253523998</v>
      </c>
      <c r="P30" s="27">
        <f t="shared" si="9"/>
        <v>168293497</v>
      </c>
      <c r="Q30" s="9">
        <v>253523998</v>
      </c>
      <c r="R30" s="25">
        <f t="shared" si="1"/>
        <v>0.60102769800953848</v>
      </c>
      <c r="S30" s="9">
        <v>253523998</v>
      </c>
      <c r="T30" s="51">
        <v>253523998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1200108736</v>
      </c>
      <c r="K31" s="9">
        <v>0</v>
      </c>
      <c r="L31" s="27">
        <v>0</v>
      </c>
      <c r="M31" s="27">
        <f t="shared" si="10"/>
        <v>1200108736</v>
      </c>
      <c r="N31" s="9">
        <v>0</v>
      </c>
      <c r="O31" s="9">
        <v>779615989</v>
      </c>
      <c r="P31" s="27">
        <f t="shared" si="9"/>
        <v>420492747</v>
      </c>
      <c r="Q31" s="9">
        <v>779615989</v>
      </c>
      <c r="R31" s="25">
        <f t="shared" si="1"/>
        <v>0.64962112649765757</v>
      </c>
      <c r="S31" s="9">
        <v>779615989</v>
      </c>
      <c r="T31" s="51">
        <v>779615989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88044147</v>
      </c>
      <c r="K32" s="9">
        <v>0</v>
      </c>
      <c r="L32" s="27">
        <v>0</v>
      </c>
      <c r="M32" s="27">
        <f t="shared" si="10"/>
        <v>88044147</v>
      </c>
      <c r="N32" s="9">
        <v>0</v>
      </c>
      <c r="O32" s="9">
        <v>44313820</v>
      </c>
      <c r="P32" s="27">
        <f t="shared" si="9"/>
        <v>43730327</v>
      </c>
      <c r="Q32" s="9">
        <v>44313820</v>
      </c>
      <c r="R32" s="25">
        <f t="shared" si="1"/>
        <v>0.50331363878168978</v>
      </c>
      <c r="S32" s="9">
        <v>44313820</v>
      </c>
      <c r="T32" s="51">
        <v>44313820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5700000000</v>
      </c>
      <c r="L33" s="64">
        <f t="shared" si="11"/>
        <v>5700000000</v>
      </c>
      <c r="M33" s="64">
        <f>M3</f>
        <v>273375100000</v>
      </c>
      <c r="N33" s="64">
        <f>N3</f>
        <v>0</v>
      </c>
      <c r="O33" s="64">
        <f>O3</f>
        <v>156397125921</v>
      </c>
      <c r="P33" s="64">
        <f>P3</f>
        <v>116977974079</v>
      </c>
      <c r="Q33" s="64">
        <f>Q3</f>
        <v>156397125921</v>
      </c>
      <c r="R33" s="76">
        <f>IF(Q33&gt;1,Q33/(M33-N33),0)</f>
        <v>0.57209718778703689</v>
      </c>
      <c r="S33" s="64">
        <f>S3</f>
        <v>152145553388</v>
      </c>
      <c r="T33" s="73">
        <f>T3</f>
        <v>152145553388</v>
      </c>
      <c r="U33" s="106"/>
    </row>
    <row r="34" spans="1:21" ht="15" customHeight="1" thickBot="1" x14ac:dyDescent="0.3">
      <c r="A34" s="120" t="s">
        <v>25</v>
      </c>
      <c r="B34" s="121"/>
      <c r="C34" s="121"/>
      <c r="D34" s="121"/>
      <c r="E34" s="121"/>
      <c r="F34" s="121"/>
      <c r="G34" s="121"/>
      <c r="H34" s="121"/>
      <c r="I34" s="122"/>
      <c r="J34" s="77">
        <f>J33</f>
        <v>273375100000</v>
      </c>
      <c r="K34" s="77">
        <f t="shared" ref="K34:L34" si="12">K33</f>
        <v>5700000000</v>
      </c>
      <c r="L34" s="77">
        <f t="shared" si="12"/>
        <v>5700000000</v>
      </c>
      <c r="M34" s="77">
        <f t="shared" ref="M34:T34" si="13">M33</f>
        <v>273375100000</v>
      </c>
      <c r="N34" s="77">
        <f t="shared" si="13"/>
        <v>0</v>
      </c>
      <c r="O34" s="77">
        <f t="shared" si="13"/>
        <v>156397125921</v>
      </c>
      <c r="P34" s="77">
        <f t="shared" si="13"/>
        <v>116977974079</v>
      </c>
      <c r="Q34" s="77">
        <f t="shared" si="13"/>
        <v>156397125921</v>
      </c>
      <c r="R34" s="76">
        <f t="shared" si="1"/>
        <v>0.57209718778703689</v>
      </c>
      <c r="S34" s="77">
        <f t="shared" si="13"/>
        <v>152145553388</v>
      </c>
      <c r="T34" s="78">
        <f t="shared" si="13"/>
        <v>152145553388</v>
      </c>
    </row>
    <row r="35" spans="1:21" ht="15.75" customHeight="1" thickBot="1" x14ac:dyDescent="0.3">
      <c r="A35" s="114" t="s">
        <v>107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6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</f>
        <v>1509635371</v>
      </c>
      <c r="K36" s="48">
        <f t="shared" ref="K36:Q36" si="14">K37+K38+K39+K40+K41+K42+K43</f>
        <v>443828538</v>
      </c>
      <c r="L36" s="48">
        <f t="shared" si="14"/>
        <v>515394912</v>
      </c>
      <c r="M36" s="48">
        <f t="shared" si="14"/>
        <v>1438068997</v>
      </c>
      <c r="N36" s="48">
        <f t="shared" si="14"/>
        <v>66800000</v>
      </c>
      <c r="O36" s="48">
        <f t="shared" si="14"/>
        <v>1183569132</v>
      </c>
      <c r="P36" s="48">
        <f t="shared" si="14"/>
        <v>187699865</v>
      </c>
      <c r="Q36" s="48">
        <f t="shared" si="14"/>
        <v>73330879</v>
      </c>
      <c r="R36" s="62">
        <f t="shared" ref="R36:R78" si="15">IF(Q36&gt;1,Q36/(M36-N36),0)</f>
        <v>5.347665495277E-2</v>
      </c>
      <c r="S36" s="48">
        <f>S37+S38+S39+S40+S42+S41+S43</f>
        <v>36078879</v>
      </c>
      <c r="T36" s="48">
        <f>T37+T38+T39+T40+T42+T41+T43</f>
        <v>36078879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146</v>
      </c>
      <c r="H37" s="7" t="s">
        <v>5</v>
      </c>
      <c r="I37" s="8">
        <v>10</v>
      </c>
      <c r="J37" s="44">
        <v>27595412</v>
      </c>
      <c r="K37" s="44">
        <f>26221172+4647724+58000000+58000000+56028932</f>
        <v>202897828</v>
      </c>
      <c r="L37" s="44">
        <f>1184912+1000000</f>
        <v>2184912</v>
      </c>
      <c r="M37" s="44">
        <f>J37+K37-L37</f>
        <v>228308328</v>
      </c>
      <c r="N37" s="44"/>
      <c r="O37" s="44">
        <v>51631672</v>
      </c>
      <c r="P37" s="27">
        <f t="shared" ref="P37:P43" si="16">+M37-O37-N37</f>
        <v>176676656</v>
      </c>
      <c r="Q37" s="27">
        <v>26410500</v>
      </c>
      <c r="R37" s="69">
        <f>IF(Q37&gt;1,Q37/(M37-N37),0)</f>
        <v>0.1156790916536343</v>
      </c>
      <c r="S37" s="44">
        <v>26410500</v>
      </c>
      <c r="T37" s="70">
        <v>26410500</v>
      </c>
      <c r="U37" s="1">
        <v>4647724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112</v>
      </c>
      <c r="H38" s="7" t="s">
        <v>5</v>
      </c>
      <c r="I38" s="8">
        <v>10</v>
      </c>
      <c r="J38" s="44">
        <v>19500000</v>
      </c>
      <c r="K38" s="44">
        <f>90578039+1432671+82000000+43000000</f>
        <v>217010710</v>
      </c>
      <c r="L38" s="44"/>
      <c r="M38" s="44">
        <f t="shared" ref="M38:M43" si="17">J38+K38-L38</f>
        <v>236510710</v>
      </c>
      <c r="N38" s="44"/>
      <c r="O38" s="44">
        <v>226787671</v>
      </c>
      <c r="P38" s="27">
        <f t="shared" si="16"/>
        <v>9723039</v>
      </c>
      <c r="Q38" s="27">
        <v>21652000</v>
      </c>
      <c r="R38" s="69">
        <f t="shared" si="15"/>
        <v>9.154765126703987E-2</v>
      </c>
      <c r="S38" s="44">
        <v>0</v>
      </c>
      <c r="T38" s="70">
        <v>0</v>
      </c>
      <c r="U38" s="106">
        <f>+U37-P37</f>
        <v>-172028932</v>
      </c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113</v>
      </c>
      <c r="H39" s="7" t="s">
        <v>5</v>
      </c>
      <c r="I39" s="8">
        <v>10</v>
      </c>
      <c r="J39" s="44">
        <v>15000000</v>
      </c>
      <c r="K39" s="44">
        <v>18000000</v>
      </c>
      <c r="L39" s="44">
        <f>10000</f>
        <v>10000</v>
      </c>
      <c r="M39" s="44">
        <f t="shared" si="17"/>
        <v>32990000</v>
      </c>
      <c r="N39" s="44"/>
      <c r="O39" s="44">
        <v>32500000</v>
      </c>
      <c r="P39" s="27">
        <f t="shared" si="16"/>
        <v>490000</v>
      </c>
      <c r="Q39" s="27">
        <v>14500000</v>
      </c>
      <c r="R39" s="69">
        <f t="shared" si="15"/>
        <v>0.43952712943316158</v>
      </c>
      <c r="S39" s="44">
        <v>0</v>
      </c>
      <c r="T39" s="70">
        <v>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126</v>
      </c>
      <c r="H40" s="7" t="s">
        <v>5</v>
      </c>
      <c r="I40" s="8">
        <v>10</v>
      </c>
      <c r="J40" s="44">
        <v>1435539959</v>
      </c>
      <c r="K40" s="44"/>
      <c r="L40" s="44">
        <f>150193000+325050000+37957000</f>
        <v>513200000</v>
      </c>
      <c r="M40" s="44">
        <f t="shared" si="17"/>
        <v>922339959</v>
      </c>
      <c r="N40" s="44">
        <v>66800000</v>
      </c>
      <c r="O40" s="44">
        <v>855539959</v>
      </c>
      <c r="P40" s="27">
        <f>+M40-O40-N40</f>
        <v>0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42</v>
      </c>
      <c r="G41" s="23" t="s">
        <v>127</v>
      </c>
      <c r="H41" s="7" t="s">
        <v>5</v>
      </c>
      <c r="I41" s="8">
        <v>10</v>
      </c>
      <c r="J41" s="44"/>
      <c r="K41" s="44">
        <v>4800000</v>
      </c>
      <c r="L41" s="44"/>
      <c r="M41" s="44">
        <f t="shared" si="17"/>
        <v>4800000</v>
      </c>
      <c r="N41" s="44"/>
      <c r="O41" s="44">
        <v>4800000</v>
      </c>
      <c r="P41" s="27">
        <f t="shared" si="16"/>
        <v>0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128</v>
      </c>
      <c r="H42" s="7" t="s">
        <v>5</v>
      </c>
      <c r="I42" s="8">
        <v>10</v>
      </c>
      <c r="J42" s="44">
        <v>10000000</v>
      </c>
      <c r="K42" s="44">
        <v>0</v>
      </c>
      <c r="L42" s="44">
        <v>0</v>
      </c>
      <c r="M42" s="44">
        <f t="shared" si="17"/>
        <v>10000000</v>
      </c>
      <c r="N42" s="44"/>
      <c r="O42" s="44">
        <v>9668379</v>
      </c>
      <c r="P42" s="27">
        <f t="shared" si="16"/>
        <v>331621</v>
      </c>
      <c r="Q42" s="27">
        <v>9668379</v>
      </c>
      <c r="R42" s="69">
        <f t="shared" si="15"/>
        <v>0.96683790000000003</v>
      </c>
      <c r="S42" s="44">
        <v>9668379</v>
      </c>
      <c r="T42" s="70">
        <v>9668379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148</v>
      </c>
      <c r="H43" s="7" t="s">
        <v>5</v>
      </c>
      <c r="I43" s="8">
        <v>10</v>
      </c>
      <c r="J43" s="44">
        <v>2000000</v>
      </c>
      <c r="K43" s="44">
        <v>1120000</v>
      </c>
      <c r="L43" s="44">
        <v>0</v>
      </c>
      <c r="M43" s="44">
        <f t="shared" si="17"/>
        <v>3120000</v>
      </c>
      <c r="N43" s="44"/>
      <c r="O43" s="44">
        <v>2641451</v>
      </c>
      <c r="P43" s="27">
        <f t="shared" si="16"/>
        <v>478549</v>
      </c>
      <c r="Q43" s="27">
        <v>1100000</v>
      </c>
      <c r="R43" s="69">
        <f t="shared" si="15"/>
        <v>0.35256410256410259</v>
      </c>
      <c r="S43" s="44">
        <v>0</v>
      </c>
      <c r="T43" s="70">
        <v>0</v>
      </c>
    </row>
    <row r="44" spans="1:21" s="47" customFormat="1" ht="15" customHeight="1" x14ac:dyDescent="0.25">
      <c r="A44" s="90" t="s">
        <v>3</v>
      </c>
      <c r="B44" s="11" t="s">
        <v>50</v>
      </c>
      <c r="C44" s="11" t="s">
        <v>50</v>
      </c>
      <c r="D44" s="11"/>
      <c r="E44" s="11"/>
      <c r="F44" s="49"/>
      <c r="G44" s="12" t="s">
        <v>80</v>
      </c>
      <c r="H44" s="11" t="s">
        <v>5</v>
      </c>
      <c r="I44" s="13">
        <v>10</v>
      </c>
      <c r="J44" s="48">
        <f t="shared" ref="J44:Q44" si="18">J47+J48+J49+J51+J52+J53+J54+J55+J56+J57+J58+J59+J60+J61+J64+J65+J66+J67+J68+J69+J70+J72+J73+J76+J77+J78+J79+J80+J81+J82+J83+J84+J85+J86+J87+J50+J62+J63+J71</f>
        <v>40216964629</v>
      </c>
      <c r="K44" s="48">
        <f t="shared" si="18"/>
        <v>3003712339.6700006</v>
      </c>
      <c r="L44" s="48">
        <f t="shared" si="18"/>
        <v>2932145965.6700001</v>
      </c>
      <c r="M44" s="48">
        <f t="shared" si="18"/>
        <v>40288531003</v>
      </c>
      <c r="N44" s="48">
        <f t="shared" si="18"/>
        <v>3284400000</v>
      </c>
      <c r="O44" s="48">
        <f t="shared" si="18"/>
        <v>34014061555.920002</v>
      </c>
      <c r="P44" s="48">
        <f t="shared" si="18"/>
        <v>2990069447.0799999</v>
      </c>
      <c r="Q44" s="48">
        <f t="shared" si="18"/>
        <v>29575439811.759998</v>
      </c>
      <c r="R44" s="62">
        <f t="shared" si="15"/>
        <v>0.79924697621901342</v>
      </c>
      <c r="S44" s="24">
        <f>S47+S48+S49+S50+S51+S52+S53+S54+S55+S56+S57+S58+S59+S60+S61+S64+S65+S66+S67+S68+S69+S70+S72+S73+S76+S77+S78+S79+S80+S81+S82+S83+S84+S85+S86+S87+S62+S63</f>
        <v>17613642691.709999</v>
      </c>
      <c r="T44" s="24">
        <f>T47+T48+T49+T50+T51+T52+T53+T54+T55+T56+T57+T58+T59+T60+T61+T64+T65+T66+T67+T68+T69+T70+T72+T73+T76+T77+T78+T79+T80+T81+T82+T83+T84+T85+T86+T87+T62+T63</f>
        <v>17604393284.709999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8</v>
      </c>
      <c r="I45" s="13">
        <v>20</v>
      </c>
      <c r="J45" s="48">
        <f>J74</f>
        <v>786000000</v>
      </c>
      <c r="K45" s="48">
        <f t="shared" ref="K45:L45" si="19">K74</f>
        <v>0</v>
      </c>
      <c r="L45" s="48">
        <f t="shared" si="19"/>
        <v>0</v>
      </c>
      <c r="M45" s="48">
        <f>M74</f>
        <v>786000000</v>
      </c>
      <c r="N45" s="48">
        <f t="shared" ref="N45:Q46" si="20">N74</f>
        <v>0</v>
      </c>
      <c r="O45" s="48">
        <f t="shared" si="20"/>
        <v>217916197</v>
      </c>
      <c r="P45" s="24">
        <f t="shared" si="20"/>
        <v>568083803</v>
      </c>
      <c r="Q45" s="24">
        <f t="shared" si="20"/>
        <v>217916197</v>
      </c>
      <c r="R45" s="62">
        <f t="shared" si="15"/>
        <v>0.27724706997455473</v>
      </c>
      <c r="S45" s="48">
        <f>S74</f>
        <v>216864907</v>
      </c>
      <c r="T45" s="68">
        <f>T74</f>
        <v>216864907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21</v>
      </c>
      <c r="J46" s="48">
        <f>J75</f>
        <v>391600000</v>
      </c>
      <c r="K46" s="48">
        <f t="shared" ref="K46:L46" si="21">K75</f>
        <v>0</v>
      </c>
      <c r="L46" s="48">
        <f t="shared" si="21"/>
        <v>0</v>
      </c>
      <c r="M46" s="48">
        <f>M75</f>
        <v>391600000</v>
      </c>
      <c r="N46" s="48">
        <f t="shared" si="20"/>
        <v>0</v>
      </c>
      <c r="O46" s="48">
        <f>O75</f>
        <v>391600000</v>
      </c>
      <c r="P46" s="24">
        <f>P75</f>
        <v>0</v>
      </c>
      <c r="Q46" s="24">
        <f>Q75</f>
        <v>391600000</v>
      </c>
      <c r="R46" s="62">
        <f t="shared" si="15"/>
        <v>1</v>
      </c>
      <c r="S46" s="48">
        <f>S75</f>
        <v>391600000</v>
      </c>
      <c r="T46" s="68">
        <f>T75</f>
        <v>391600000</v>
      </c>
    </row>
    <row r="47" spans="1:21" s="47" customFormat="1" ht="15" customHeight="1" x14ac:dyDescent="0.25">
      <c r="A47" s="91" t="s">
        <v>3</v>
      </c>
      <c r="B47" s="7" t="s">
        <v>50</v>
      </c>
      <c r="C47" s="7" t="s">
        <v>50</v>
      </c>
      <c r="D47" s="7" t="s">
        <v>34</v>
      </c>
      <c r="E47" s="65" t="s">
        <v>35</v>
      </c>
      <c r="F47" s="65" t="s">
        <v>42</v>
      </c>
      <c r="G47" s="23" t="s">
        <v>244</v>
      </c>
      <c r="H47" s="7" t="s">
        <v>5</v>
      </c>
      <c r="I47" s="8">
        <v>10</v>
      </c>
      <c r="J47" s="48"/>
      <c r="K47" s="44">
        <v>700000</v>
      </c>
      <c r="L47" s="44"/>
      <c r="M47" s="44">
        <f>J47+K47-L47</f>
        <v>700000</v>
      </c>
      <c r="N47" s="48">
        <v>0</v>
      </c>
      <c r="O47" s="44">
        <v>700000</v>
      </c>
      <c r="P47" s="24">
        <f t="shared" ref="P47:P87" si="22">+M47-O47-N47</f>
        <v>0</v>
      </c>
      <c r="Q47" s="24">
        <v>0</v>
      </c>
      <c r="R47" s="62">
        <v>0</v>
      </c>
      <c r="S47" s="48">
        <v>0</v>
      </c>
      <c r="T47" s="68">
        <v>0</v>
      </c>
    </row>
    <row r="48" spans="1:21" s="6" customFormat="1" ht="32.2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37</v>
      </c>
      <c r="F48" s="7" t="s">
        <v>39</v>
      </c>
      <c r="G48" s="23" t="s">
        <v>114</v>
      </c>
      <c r="H48" s="7" t="s">
        <v>5</v>
      </c>
      <c r="I48" s="8">
        <v>10</v>
      </c>
      <c r="J48" s="44">
        <v>6000000</v>
      </c>
      <c r="K48" s="44">
        <v>0</v>
      </c>
      <c r="L48" s="44">
        <v>0</v>
      </c>
      <c r="M48" s="44">
        <f>J48+K48-L48</f>
        <v>6000000</v>
      </c>
      <c r="N48" s="44">
        <v>0</v>
      </c>
      <c r="O48" s="44">
        <v>0</v>
      </c>
      <c r="P48" s="27">
        <f t="shared" si="22"/>
        <v>6000000</v>
      </c>
      <c r="Q48" s="9">
        <v>0</v>
      </c>
      <c r="R48" s="25">
        <f t="shared" si="15"/>
        <v>0</v>
      </c>
      <c r="S48" s="9">
        <v>0</v>
      </c>
      <c r="T48" s="10">
        <v>0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5" t="s">
        <v>43</v>
      </c>
      <c r="G49" s="23" t="s">
        <v>147</v>
      </c>
      <c r="H49" s="7" t="s">
        <v>5</v>
      </c>
      <c r="I49" s="8">
        <v>10</v>
      </c>
      <c r="J49" s="44">
        <v>1200000</v>
      </c>
      <c r="K49" s="44">
        <v>0</v>
      </c>
      <c r="L49" s="44">
        <v>0</v>
      </c>
      <c r="M49" s="44">
        <f t="shared" ref="M49:M87" si="23">J49+K49-L49</f>
        <v>1200000</v>
      </c>
      <c r="N49" s="44">
        <v>0</v>
      </c>
      <c r="O49" s="44">
        <v>1200000</v>
      </c>
      <c r="P49" s="27">
        <f t="shared" si="22"/>
        <v>0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243</v>
      </c>
      <c r="H50" s="7" t="s">
        <v>5</v>
      </c>
      <c r="I50" s="8">
        <v>10</v>
      </c>
      <c r="J50" s="44">
        <v>0</v>
      </c>
      <c r="K50" s="44">
        <f>35000000+48650+1000000+4132771</f>
        <v>40181421</v>
      </c>
      <c r="L50" s="44">
        <v>33635000</v>
      </c>
      <c r="M50" s="44">
        <f t="shared" ref="M50" si="24">J50+K50-L50</f>
        <v>6546421</v>
      </c>
      <c r="N50" s="44">
        <v>0</v>
      </c>
      <c r="O50" s="44">
        <v>2398650</v>
      </c>
      <c r="P50" s="27">
        <f>+M50-O50-N50</f>
        <v>4147771</v>
      </c>
      <c r="Q50" s="9">
        <v>1350000</v>
      </c>
      <c r="R50" s="25">
        <f t="shared" ref="R50" si="25">IF(Q50&gt;1,Q50/(M50-N50),0)</f>
        <v>0.20621955111044646</v>
      </c>
      <c r="S50" s="9">
        <v>0</v>
      </c>
      <c r="T50" s="10">
        <v>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115</v>
      </c>
      <c r="H51" s="7" t="s">
        <v>5</v>
      </c>
      <c r="I51" s="8" t="s">
        <v>6</v>
      </c>
      <c r="J51" s="44">
        <v>498366950</v>
      </c>
      <c r="K51" s="44">
        <f>7172000+16609104+13737919.66+139837.17+70074948+25260000+58406476</f>
        <v>191400284.82999998</v>
      </c>
      <c r="L51" s="44">
        <f>1500000+652600+3888306+175786</f>
        <v>6216692</v>
      </c>
      <c r="M51" s="44">
        <f t="shared" si="23"/>
        <v>683550542.82999992</v>
      </c>
      <c r="N51" s="9">
        <v>0</v>
      </c>
      <c r="O51" s="44">
        <v>602889035.65999997</v>
      </c>
      <c r="P51" s="27">
        <f>+M51-O51-N51</f>
        <v>80661507.169999957</v>
      </c>
      <c r="Q51" s="9">
        <v>483814057.66000003</v>
      </c>
      <c r="R51" s="25">
        <f t="shared" si="15"/>
        <v>0.70779558693193123</v>
      </c>
      <c r="S51" s="9">
        <v>77857672.950000003</v>
      </c>
      <c r="T51" s="10">
        <v>77857672.950000003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116</v>
      </c>
      <c r="H52" s="7" t="s">
        <v>5</v>
      </c>
      <c r="I52" s="8" t="s">
        <v>6</v>
      </c>
      <c r="J52" s="44">
        <v>510003</v>
      </c>
      <c r="K52" s="44">
        <f>813997+2500000+5614250</f>
        <v>8928247</v>
      </c>
      <c r="L52" s="44"/>
      <c r="M52" s="44">
        <f t="shared" si="23"/>
        <v>9438250</v>
      </c>
      <c r="N52" s="9">
        <v>0</v>
      </c>
      <c r="O52" s="44">
        <v>3824000</v>
      </c>
      <c r="P52" s="27">
        <f t="shared" si="22"/>
        <v>5614250</v>
      </c>
      <c r="Q52" s="9">
        <v>1164000</v>
      </c>
      <c r="R52" s="25">
        <f t="shared" si="15"/>
        <v>0.12332794744788493</v>
      </c>
      <c r="S52" s="9">
        <v>1164000</v>
      </c>
      <c r="T52" s="10">
        <v>1164000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117</v>
      </c>
      <c r="H53" s="7" t="s">
        <v>5</v>
      </c>
      <c r="I53" s="8">
        <v>10</v>
      </c>
      <c r="J53" s="44">
        <v>252146927</v>
      </c>
      <c r="K53" s="44">
        <f>45000000+19701540+4684912+500000+16853132+79058150+3013420+5316744</f>
        <v>174127898</v>
      </c>
      <c r="L53" s="44">
        <f>8670725.17+3268282+13000000+39684912+13656217+595923</f>
        <v>78876059.170000002</v>
      </c>
      <c r="M53" s="44">
        <f t="shared" si="23"/>
        <v>347398765.82999998</v>
      </c>
      <c r="N53" s="27">
        <v>0</v>
      </c>
      <c r="O53" s="44">
        <v>272905471</v>
      </c>
      <c r="P53" s="27">
        <f t="shared" si="22"/>
        <v>74493294.829999983</v>
      </c>
      <c r="Q53" s="9">
        <v>98709672</v>
      </c>
      <c r="R53" s="25">
        <f t="shared" si="15"/>
        <v>0.28413938594215876</v>
      </c>
      <c r="S53" s="9">
        <v>49072896</v>
      </c>
      <c r="T53" s="10">
        <v>49072896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118</v>
      </c>
      <c r="H54" s="7" t="s">
        <v>5</v>
      </c>
      <c r="I54" s="8" t="s">
        <v>6</v>
      </c>
      <c r="J54" s="44">
        <v>295308239</v>
      </c>
      <c r="K54" s="44">
        <f>10000+20280+500000+4500000+9020000</f>
        <v>14050280</v>
      </c>
      <c r="L54" s="44">
        <f>159356+7000000</f>
        <v>7159356</v>
      </c>
      <c r="M54" s="44">
        <f t="shared" si="23"/>
        <v>302199163</v>
      </c>
      <c r="N54" s="27">
        <v>0</v>
      </c>
      <c r="O54" s="44">
        <v>218831913</v>
      </c>
      <c r="P54" s="27">
        <f t="shared" si="22"/>
        <v>83367250</v>
      </c>
      <c r="Q54" s="9">
        <v>213311633</v>
      </c>
      <c r="R54" s="25">
        <f t="shared" si="15"/>
        <v>0.7058644070433775</v>
      </c>
      <c r="S54" s="9">
        <v>95175111.870000005</v>
      </c>
      <c r="T54" s="10">
        <v>95175111.870000005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119</v>
      </c>
      <c r="H55" s="7" t="s">
        <v>5</v>
      </c>
      <c r="I55" s="8" t="s">
        <v>6</v>
      </c>
      <c r="J55" s="44">
        <v>292736000</v>
      </c>
      <c r="K55" s="44">
        <f>10875072+28248774+43200000+25000000+2000000</f>
        <v>109323846</v>
      </c>
      <c r="L55" s="44">
        <f>1431502+4008000+79942+14228000</f>
        <v>19747444</v>
      </c>
      <c r="M55" s="44">
        <f t="shared" si="23"/>
        <v>382312402</v>
      </c>
      <c r="N55" s="27">
        <v>0</v>
      </c>
      <c r="O55" s="44">
        <v>372703601</v>
      </c>
      <c r="P55" s="27">
        <f t="shared" si="22"/>
        <v>9608801</v>
      </c>
      <c r="Q55" s="9">
        <v>360703601</v>
      </c>
      <c r="R55" s="25">
        <f t="shared" si="15"/>
        <v>0.9434786816044749</v>
      </c>
      <c r="S55" s="9">
        <v>33447510.699999999</v>
      </c>
      <c r="T55" s="10">
        <v>33447510.699999999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120</v>
      </c>
      <c r="H56" s="7" t="s">
        <v>5</v>
      </c>
      <c r="I56" s="8" t="s">
        <v>6</v>
      </c>
      <c r="J56" s="44">
        <v>41218942</v>
      </c>
      <c r="K56" s="44">
        <f>700000+133752+1468203+3000000+1425000+1365964+392500+312465+57330+152010+15140000</f>
        <v>24147224</v>
      </c>
      <c r="L56" s="44">
        <f>25000000+104804</f>
        <v>25104804</v>
      </c>
      <c r="M56" s="44">
        <f t="shared" si="23"/>
        <v>40261362</v>
      </c>
      <c r="N56" s="27">
        <v>0</v>
      </c>
      <c r="O56" s="44">
        <v>22323481</v>
      </c>
      <c r="P56" s="27">
        <f t="shared" si="22"/>
        <v>17937881</v>
      </c>
      <c r="Q56" s="9">
        <v>10642188</v>
      </c>
      <c r="R56" s="25">
        <f t="shared" si="15"/>
        <v>0.26432757043837712</v>
      </c>
      <c r="S56" s="9">
        <v>3242398</v>
      </c>
      <c r="T56" s="10">
        <v>3242398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121</v>
      </c>
      <c r="H57" s="7" t="s">
        <v>5</v>
      </c>
      <c r="I57" s="8" t="s">
        <v>6</v>
      </c>
      <c r="J57" s="44">
        <f>561355666</f>
        <v>561355666</v>
      </c>
      <c r="K57" s="44">
        <f>6122008+1863580+200000000+6759617+200000000+2539390+23208750+39684912+5830000+22910883+1500000+3297380+9408100+34802500+815718+3693886+321568+25000000+3200000+3026014+35000000+33012360+520000</f>
        <v>662516666</v>
      </c>
      <c r="L57" s="44">
        <f>8575000+40000000+18060344</f>
        <v>66635344</v>
      </c>
      <c r="M57" s="44">
        <f t="shared" si="23"/>
        <v>1157236988</v>
      </c>
      <c r="N57" s="9">
        <v>0</v>
      </c>
      <c r="O57" s="44">
        <v>1049095923</v>
      </c>
      <c r="P57" s="27">
        <f t="shared" si="22"/>
        <v>108141065</v>
      </c>
      <c r="Q57" s="9">
        <v>56321990</v>
      </c>
      <c r="R57" s="25">
        <f t="shared" si="15"/>
        <v>4.8669365552633029E-2</v>
      </c>
      <c r="S57" s="9">
        <v>9637210</v>
      </c>
      <c r="T57" s="10">
        <v>9637210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122</v>
      </c>
      <c r="H58" s="7" t="s">
        <v>5</v>
      </c>
      <c r="I58" s="63" t="s">
        <v>6</v>
      </c>
      <c r="J58" s="44">
        <v>6500000</v>
      </c>
      <c r="K58" s="44">
        <f>1500000+17312572+500000</f>
        <v>19312572</v>
      </c>
      <c r="L58" s="44"/>
      <c r="M58" s="44">
        <f t="shared" si="23"/>
        <v>25812572</v>
      </c>
      <c r="N58" s="9">
        <v>0</v>
      </c>
      <c r="O58" s="44">
        <v>23912572</v>
      </c>
      <c r="P58" s="27">
        <f t="shared" si="22"/>
        <v>1900000</v>
      </c>
      <c r="Q58" s="9">
        <v>6100000</v>
      </c>
      <c r="R58" s="25">
        <f t="shared" si="15"/>
        <v>0.23631895341541323</v>
      </c>
      <c r="S58" s="9">
        <v>0</v>
      </c>
      <c r="T58" s="10">
        <v>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123</v>
      </c>
      <c r="H59" s="7" t="s">
        <v>5</v>
      </c>
      <c r="I59" s="8" t="s">
        <v>6</v>
      </c>
      <c r="J59" s="44">
        <v>160736353</v>
      </c>
      <c r="K59" s="44">
        <f>1197350+402886+1000000+4247025+1905705+234540+5443212+1562652+63459820</f>
        <v>79453190</v>
      </c>
      <c r="L59" s="44">
        <f>120469050+751297</f>
        <v>121220347</v>
      </c>
      <c r="M59" s="44">
        <f t="shared" si="23"/>
        <v>118969196</v>
      </c>
      <c r="N59" s="9">
        <v>0</v>
      </c>
      <c r="O59" s="44">
        <v>6982437</v>
      </c>
      <c r="P59" s="27">
        <f>+M59-O59-N59</f>
        <v>111986759</v>
      </c>
      <c r="Q59" s="9">
        <v>3439306</v>
      </c>
      <c r="R59" s="25">
        <f t="shared" si="15"/>
        <v>2.890921444909151E-2</v>
      </c>
      <c r="S59" s="9">
        <v>2439306</v>
      </c>
      <c r="T59" s="10">
        <v>2439306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124</v>
      </c>
      <c r="H60" s="7" t="s">
        <v>5</v>
      </c>
      <c r="I60" s="8" t="s">
        <v>6</v>
      </c>
      <c r="J60" s="44">
        <v>3500000</v>
      </c>
      <c r="K60" s="44">
        <v>500000</v>
      </c>
      <c r="L60" s="44"/>
      <c r="M60" s="44">
        <f t="shared" si="23"/>
        <v>4000000</v>
      </c>
      <c r="N60" s="9">
        <v>0</v>
      </c>
      <c r="O60" s="44">
        <v>4000000</v>
      </c>
      <c r="P60" s="27">
        <f t="shared" si="22"/>
        <v>0</v>
      </c>
      <c r="Q60" s="9">
        <v>3500000</v>
      </c>
      <c r="R60" s="25">
        <f>IF(Q60&gt;1,Q60/(M60-N60),0)</f>
        <v>0.875</v>
      </c>
      <c r="S60" s="9">
        <v>0</v>
      </c>
      <c r="T60" s="10">
        <v>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125</v>
      </c>
      <c r="H61" s="7" t="s">
        <v>5</v>
      </c>
      <c r="I61" s="8" t="s">
        <v>6</v>
      </c>
      <c r="J61" s="44">
        <v>64604261</v>
      </c>
      <c r="K61" s="44">
        <f>2300000+73600+6848606+2664780+5000000+3500000+10140355+12000000+5851720</f>
        <v>48379061</v>
      </c>
      <c r="L61" s="44">
        <f>15000000+28964740+481471</f>
        <v>44446211</v>
      </c>
      <c r="M61" s="44">
        <f t="shared" si="23"/>
        <v>68537111</v>
      </c>
      <c r="N61" s="9">
        <v>0</v>
      </c>
      <c r="O61" s="44">
        <v>40841692</v>
      </c>
      <c r="P61" s="27">
        <f t="shared" si="22"/>
        <v>27695419</v>
      </c>
      <c r="Q61" s="9">
        <v>12687951</v>
      </c>
      <c r="R61" s="25">
        <f t="shared" si="15"/>
        <v>0.18512526738980872</v>
      </c>
      <c r="S61" s="9">
        <v>6697951</v>
      </c>
      <c r="T61" s="10">
        <v>6697951</v>
      </c>
    </row>
    <row r="62" spans="1:20" s="6" customFormat="1" ht="16.5" x14ac:dyDescent="0.25">
      <c r="A62" s="91"/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112</v>
      </c>
      <c r="H62" s="7" t="s">
        <v>5</v>
      </c>
      <c r="I62" s="8" t="s">
        <v>6</v>
      </c>
      <c r="J62" s="44"/>
      <c r="K62" s="44">
        <f>520981+1000000</f>
        <v>1520981</v>
      </c>
      <c r="L62" s="44"/>
      <c r="M62" s="44">
        <f t="shared" si="23"/>
        <v>1520981</v>
      </c>
      <c r="N62" s="9"/>
      <c r="O62" s="44">
        <v>1520981</v>
      </c>
      <c r="P62" s="27">
        <f>+M62-O62-N62</f>
        <v>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1"/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113</v>
      </c>
      <c r="H63" s="7" t="s">
        <v>5</v>
      </c>
      <c r="I63" s="8" t="s">
        <v>6</v>
      </c>
      <c r="J63" s="44"/>
      <c r="K63" s="44">
        <f>4691162</f>
        <v>4691162</v>
      </c>
      <c r="L63" s="44"/>
      <c r="M63" s="44">
        <f>J63+K63-L63</f>
        <v>4691162</v>
      </c>
      <c r="N63" s="9"/>
      <c r="O63" s="44">
        <v>4691162</v>
      </c>
      <c r="P63" s="27">
        <f t="shared" si="22"/>
        <v>0</v>
      </c>
      <c r="Q63" s="9">
        <v>0</v>
      </c>
      <c r="R63" s="25">
        <f t="shared" si="15"/>
        <v>0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126</v>
      </c>
      <c r="H64" s="7" t="s">
        <v>5</v>
      </c>
      <c r="I64" s="8" t="s">
        <v>6</v>
      </c>
      <c r="J64" s="44">
        <v>5907296</v>
      </c>
      <c r="K64" s="44">
        <f>5550900+9950318+3859602+906047</f>
        <v>20266867</v>
      </c>
      <c r="L64" s="44">
        <f>2369565+262332</f>
        <v>2631897</v>
      </c>
      <c r="M64" s="44">
        <f>J64+K64-L64</f>
        <v>23542266</v>
      </c>
      <c r="N64" s="9">
        <v>0</v>
      </c>
      <c r="O64" s="44">
        <v>20265379</v>
      </c>
      <c r="P64" s="27">
        <f t="shared" si="22"/>
        <v>3276887</v>
      </c>
      <c r="Q64" s="9">
        <v>0</v>
      </c>
      <c r="R64" s="25">
        <f t="shared" si="15"/>
        <v>0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127</v>
      </c>
      <c r="H65" s="7" t="s">
        <v>5</v>
      </c>
      <c r="I65" s="8" t="s">
        <v>6</v>
      </c>
      <c r="J65" s="44">
        <v>19400000</v>
      </c>
      <c r="K65" s="44">
        <f>49211319+30000000</f>
        <v>79211319</v>
      </c>
      <c r="L65" s="44">
        <f>18807332+5000000+4400000</f>
        <v>28207332</v>
      </c>
      <c r="M65" s="44">
        <f t="shared" si="23"/>
        <v>70403987</v>
      </c>
      <c r="N65" s="9">
        <v>0</v>
      </c>
      <c r="O65" s="44">
        <v>40403987</v>
      </c>
      <c r="P65" s="27">
        <f t="shared" si="22"/>
        <v>30000000</v>
      </c>
      <c r="Q65" s="9">
        <v>10000000</v>
      </c>
      <c r="R65" s="25">
        <f t="shared" si="15"/>
        <v>0.14203741046654075</v>
      </c>
      <c r="S65" s="9">
        <v>0</v>
      </c>
      <c r="T65" s="10">
        <v>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44</v>
      </c>
      <c r="G66" s="23" t="s">
        <v>128</v>
      </c>
      <c r="H66" s="7" t="s">
        <v>5</v>
      </c>
      <c r="I66" s="8" t="s">
        <v>6</v>
      </c>
      <c r="J66" s="44">
        <v>1920000</v>
      </c>
      <c r="K66" s="44"/>
      <c r="L66" s="44">
        <f>1920000</f>
        <v>1920000</v>
      </c>
      <c r="M66" s="44">
        <f t="shared" si="23"/>
        <v>0</v>
      </c>
      <c r="N66" s="9">
        <v>0</v>
      </c>
      <c r="O66" s="44">
        <v>0</v>
      </c>
      <c r="P66" s="27">
        <f t="shared" si="22"/>
        <v>0</v>
      </c>
      <c r="Q66" s="9">
        <v>0</v>
      </c>
      <c r="R66" s="25">
        <f t="shared" si="15"/>
        <v>0</v>
      </c>
      <c r="S66" s="9">
        <v>0</v>
      </c>
      <c r="T66" s="10">
        <v>0</v>
      </c>
    </row>
    <row r="67" spans="1:20" s="6" customFormat="1" ht="24.75" x14ac:dyDescent="0.25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129</v>
      </c>
      <c r="H67" s="7" t="s">
        <v>5</v>
      </c>
      <c r="I67" s="8" t="s">
        <v>6</v>
      </c>
      <c r="J67" s="44">
        <v>10633300</v>
      </c>
      <c r="K67" s="44">
        <f>21000+699931+665000+672011+69091+7100000+5000000</f>
        <v>14227033</v>
      </c>
      <c r="L67" s="44">
        <f>2575440</f>
        <v>2575440</v>
      </c>
      <c r="M67" s="44">
        <f t="shared" si="23"/>
        <v>22284893</v>
      </c>
      <c r="N67" s="9">
        <v>0</v>
      </c>
      <c r="O67" s="44">
        <v>10096366</v>
      </c>
      <c r="P67" s="27">
        <f t="shared" si="22"/>
        <v>12188527</v>
      </c>
      <c r="Q67" s="9">
        <v>8021000</v>
      </c>
      <c r="R67" s="25">
        <f t="shared" si="15"/>
        <v>0.35992993100752158</v>
      </c>
      <c r="S67" s="9">
        <v>21000</v>
      </c>
      <c r="T67" s="10">
        <v>21000</v>
      </c>
    </row>
    <row r="68" spans="1:20" s="6" customFormat="1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130</v>
      </c>
      <c r="H68" s="7" t="s">
        <v>5</v>
      </c>
      <c r="I68" s="8" t="s">
        <v>6</v>
      </c>
      <c r="J68" s="44">
        <v>7000000</v>
      </c>
      <c r="K68" s="44">
        <f>9264292.64+10584974</f>
        <v>19849266.640000001</v>
      </c>
      <c r="L68" s="44">
        <f>3000000+4000000</f>
        <v>7000000</v>
      </c>
      <c r="M68" s="44">
        <f t="shared" si="23"/>
        <v>19849266.640000001</v>
      </c>
      <c r="N68" s="9">
        <v>0</v>
      </c>
      <c r="O68" s="44">
        <v>9264292.6400000006</v>
      </c>
      <c r="P68" s="27">
        <f t="shared" si="22"/>
        <v>10584974</v>
      </c>
      <c r="Q68" s="9">
        <v>9264292.6400000006</v>
      </c>
      <c r="R68" s="25">
        <f t="shared" si="15"/>
        <v>0.46673223792211599</v>
      </c>
      <c r="S68" s="9">
        <v>6144642.3300000001</v>
      </c>
      <c r="T68" s="10">
        <v>6144642.3300000001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131</v>
      </c>
      <c r="H69" s="7" t="s">
        <v>5</v>
      </c>
      <c r="I69" s="8" t="s">
        <v>6</v>
      </c>
      <c r="J69" s="44">
        <v>1098853351</v>
      </c>
      <c r="K69" s="44">
        <f>5000000+5000000+9000000+1000000+1000000+2946448+10500000</f>
        <v>34446448</v>
      </c>
      <c r="L69" s="44">
        <f>25000000+7000000</f>
        <v>32000000</v>
      </c>
      <c r="M69" s="44">
        <f t="shared" si="23"/>
        <v>1101299799</v>
      </c>
      <c r="N69" s="9">
        <v>0</v>
      </c>
      <c r="O69" s="44">
        <v>1037848350</v>
      </c>
      <c r="P69" s="27">
        <f t="shared" si="22"/>
        <v>63451449</v>
      </c>
      <c r="Q69" s="9">
        <v>899025926</v>
      </c>
      <c r="R69" s="25">
        <f t="shared" si="15"/>
        <v>0.81633168989618599</v>
      </c>
      <c r="S69" s="9">
        <v>360806430</v>
      </c>
      <c r="T69" s="10">
        <v>360376030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132</v>
      </c>
      <c r="H70" s="7" t="s">
        <v>5</v>
      </c>
      <c r="I70" s="8" t="s">
        <v>6</v>
      </c>
      <c r="J70" s="44">
        <v>221300000</v>
      </c>
      <c r="K70" s="44"/>
      <c r="L70" s="44"/>
      <c r="M70" s="44">
        <f t="shared" si="23"/>
        <v>221300000</v>
      </c>
      <c r="N70" s="9">
        <v>0</v>
      </c>
      <c r="O70" s="44">
        <v>221300000</v>
      </c>
      <c r="P70" s="27">
        <f t="shared" si="22"/>
        <v>0</v>
      </c>
      <c r="Q70" s="9">
        <v>221300000</v>
      </c>
      <c r="R70" s="25">
        <f t="shared" si="15"/>
        <v>1</v>
      </c>
      <c r="S70" s="9">
        <v>41938507</v>
      </c>
      <c r="T70" s="10">
        <v>41938507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5" t="s">
        <v>43</v>
      </c>
      <c r="G71" s="23" t="s">
        <v>242</v>
      </c>
      <c r="H71" s="7" t="s">
        <v>5</v>
      </c>
      <c r="I71" s="8" t="s">
        <v>6</v>
      </c>
      <c r="J71" s="44">
        <v>0</v>
      </c>
      <c r="K71" s="44"/>
      <c r="L71" s="44"/>
      <c r="M71" s="44">
        <v>0</v>
      </c>
      <c r="N71" s="9">
        <v>0</v>
      </c>
      <c r="O71" s="44">
        <v>0</v>
      </c>
      <c r="P71" s="27">
        <f t="shared" ref="P71" si="26">+M71-O71-N71</f>
        <v>0</v>
      </c>
      <c r="Q71" s="9">
        <v>0</v>
      </c>
      <c r="R71" s="25">
        <f t="shared" ref="R71" si="27">IF(Q71&gt;1,Q71/(M71-N71),0)</f>
        <v>0</v>
      </c>
      <c r="S71" s="9">
        <v>0</v>
      </c>
      <c r="T71" s="10">
        <v>0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45</v>
      </c>
      <c r="G72" s="23" t="s">
        <v>133</v>
      </c>
      <c r="H72" s="7" t="s">
        <v>5</v>
      </c>
      <c r="I72" s="8" t="s">
        <v>6</v>
      </c>
      <c r="J72" s="44">
        <v>203606672</v>
      </c>
      <c r="K72" s="44"/>
      <c r="L72" s="44"/>
      <c r="M72" s="44">
        <f t="shared" si="23"/>
        <v>203606672</v>
      </c>
      <c r="N72" s="9">
        <v>0</v>
      </c>
      <c r="O72" s="44">
        <v>202620000</v>
      </c>
      <c r="P72" s="27">
        <f t="shared" si="22"/>
        <v>986672</v>
      </c>
      <c r="Q72" s="9">
        <v>202620000</v>
      </c>
      <c r="R72" s="25">
        <f t="shared" si="15"/>
        <v>0.99515402913711981</v>
      </c>
      <c r="S72" s="9">
        <v>43220100</v>
      </c>
      <c r="T72" s="10">
        <v>43220100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134</v>
      </c>
      <c r="H73" s="7" t="s">
        <v>5</v>
      </c>
      <c r="I73" s="8" t="s">
        <v>6</v>
      </c>
      <c r="J73" s="44">
        <v>4586946857</v>
      </c>
      <c r="K73" s="44">
        <f>65000000+11504545+73000000+5837417+180000000+260000000+30000000+16877661+40000000</f>
        <v>682219623</v>
      </c>
      <c r="L73" s="44">
        <f>10875072+34275216.2+9264292.64+95440714+16609104+229975000+165741200+30697627+30000000+106382815+10000000</f>
        <v>739261040.84000003</v>
      </c>
      <c r="M73" s="44">
        <f t="shared" si="23"/>
        <v>4529905439.1599998</v>
      </c>
      <c r="N73" s="9">
        <v>0</v>
      </c>
      <c r="O73" s="44">
        <v>3357649212</v>
      </c>
      <c r="P73" s="27">
        <f t="shared" si="22"/>
        <v>1172256227.1599998</v>
      </c>
      <c r="Q73" s="9">
        <v>2414388129.4299998</v>
      </c>
      <c r="R73" s="25">
        <f t="shared" si="15"/>
        <v>0.53298863781088335</v>
      </c>
      <c r="S73" s="9">
        <v>2412795489.4299998</v>
      </c>
      <c r="T73" s="10">
        <v>2412795489.4299998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134</v>
      </c>
      <c r="H74" s="7" t="s">
        <v>8</v>
      </c>
      <c r="I74" s="8" t="s">
        <v>9</v>
      </c>
      <c r="J74" s="44">
        <v>786000000</v>
      </c>
      <c r="K74" s="44"/>
      <c r="L74" s="44"/>
      <c r="M74" s="44">
        <f t="shared" si="23"/>
        <v>786000000</v>
      </c>
      <c r="N74" s="9">
        <v>0</v>
      </c>
      <c r="O74" s="44">
        <v>217916197</v>
      </c>
      <c r="P74" s="27">
        <f t="shared" si="22"/>
        <v>568083803</v>
      </c>
      <c r="Q74" s="9">
        <v>217916197</v>
      </c>
      <c r="R74" s="25">
        <f t="shared" si="15"/>
        <v>0.27724706997455473</v>
      </c>
      <c r="S74" s="9">
        <v>216864907</v>
      </c>
      <c r="T74" s="10">
        <v>216864907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134</v>
      </c>
      <c r="H75" s="7" t="s">
        <v>8</v>
      </c>
      <c r="I75" s="8">
        <v>21</v>
      </c>
      <c r="J75" s="44">
        <v>391600000</v>
      </c>
      <c r="K75" s="44"/>
      <c r="L75" s="44"/>
      <c r="M75" s="44">
        <f t="shared" si="23"/>
        <v>391600000</v>
      </c>
      <c r="N75" s="9">
        <v>0</v>
      </c>
      <c r="O75" s="44">
        <v>391600000</v>
      </c>
      <c r="P75" s="27">
        <f t="shared" si="22"/>
        <v>0</v>
      </c>
      <c r="Q75" s="9">
        <v>391600000</v>
      </c>
      <c r="R75" s="25">
        <f t="shared" si="15"/>
        <v>1</v>
      </c>
      <c r="S75" s="9">
        <v>391600000</v>
      </c>
      <c r="T75" s="10">
        <v>391600000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7" t="s">
        <v>35</v>
      </c>
      <c r="G76" s="23" t="s">
        <v>135</v>
      </c>
      <c r="H76" s="7" t="s">
        <v>5</v>
      </c>
      <c r="I76" s="8" t="s">
        <v>6</v>
      </c>
      <c r="J76" s="44">
        <v>5015000000</v>
      </c>
      <c r="K76" s="44">
        <f>14100000</f>
        <v>14100000</v>
      </c>
      <c r="L76" s="44">
        <f>2000000+1183200+66643986</f>
        <v>69827186</v>
      </c>
      <c r="M76" s="44">
        <f t="shared" si="23"/>
        <v>4959272814</v>
      </c>
      <c r="N76" s="9">
        <v>0</v>
      </c>
      <c r="O76" s="44">
        <v>4949877014</v>
      </c>
      <c r="P76" s="27">
        <f t="shared" si="22"/>
        <v>9395800</v>
      </c>
      <c r="Q76" s="9">
        <v>4896272814</v>
      </c>
      <c r="R76" s="25">
        <f t="shared" si="15"/>
        <v>0.98729652463922712</v>
      </c>
      <c r="S76" s="9">
        <v>4884501574</v>
      </c>
      <c r="T76" s="10">
        <v>4884501574</v>
      </c>
    </row>
    <row r="77" spans="1:20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65" t="s">
        <v>37</v>
      </c>
      <c r="G77" s="23" t="s">
        <v>136</v>
      </c>
      <c r="H77" s="7" t="s">
        <v>5</v>
      </c>
      <c r="I77" s="8" t="s">
        <v>6</v>
      </c>
      <c r="J77" s="44">
        <v>2172141060</v>
      </c>
      <c r="K77" s="44"/>
      <c r="L77" s="44">
        <f>4299972+26221172</f>
        <v>30521144</v>
      </c>
      <c r="M77" s="44">
        <f t="shared" si="23"/>
        <v>2141619916</v>
      </c>
      <c r="N77" s="9">
        <v>0</v>
      </c>
      <c r="O77" s="44">
        <v>2138838485</v>
      </c>
      <c r="P77" s="27">
        <f t="shared" si="22"/>
        <v>2781431</v>
      </c>
      <c r="Q77" s="9">
        <v>2138838485</v>
      </c>
      <c r="R77" s="25">
        <f t="shared" si="15"/>
        <v>0.99870124900351365</v>
      </c>
      <c r="S77" s="9">
        <v>1148450336</v>
      </c>
      <c r="T77" s="10">
        <v>1148450336</v>
      </c>
    </row>
    <row r="78" spans="1:20" s="6" customFormat="1" ht="16.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65" t="s">
        <v>44</v>
      </c>
      <c r="F78" s="65" t="s">
        <v>39</v>
      </c>
      <c r="G78" s="108" t="s">
        <v>157</v>
      </c>
      <c r="H78" s="7" t="s">
        <v>5</v>
      </c>
      <c r="I78" s="8" t="s">
        <v>6</v>
      </c>
      <c r="J78" s="44">
        <v>90000000</v>
      </c>
      <c r="K78" s="44"/>
      <c r="L78" s="44">
        <v>90000000</v>
      </c>
      <c r="M78" s="44">
        <f t="shared" si="23"/>
        <v>0</v>
      </c>
      <c r="N78" s="9">
        <v>0</v>
      </c>
      <c r="O78" s="44">
        <v>0</v>
      </c>
      <c r="P78" s="27">
        <f t="shared" si="22"/>
        <v>0</v>
      </c>
      <c r="Q78" s="9">
        <v>0</v>
      </c>
      <c r="R78" s="25">
        <f t="shared" si="15"/>
        <v>0</v>
      </c>
      <c r="S78" s="9">
        <v>0</v>
      </c>
      <c r="T78" s="10">
        <v>0</v>
      </c>
    </row>
    <row r="79" spans="1:20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37</v>
      </c>
      <c r="G79" s="108" t="s">
        <v>137</v>
      </c>
      <c r="H79" s="7" t="s">
        <v>5</v>
      </c>
      <c r="I79" s="8" t="s">
        <v>6</v>
      </c>
      <c r="J79" s="44">
        <v>40070000</v>
      </c>
      <c r="K79" s="44">
        <f>229900+54600000</f>
        <v>54829900</v>
      </c>
      <c r="L79" s="44">
        <v>30000000</v>
      </c>
      <c r="M79" s="44">
        <f t="shared" si="23"/>
        <v>64899900</v>
      </c>
      <c r="N79" s="9"/>
      <c r="O79" s="44">
        <v>50629900</v>
      </c>
      <c r="P79" s="27">
        <f t="shared" si="22"/>
        <v>14270000</v>
      </c>
      <c r="Q79" s="9">
        <v>50629900</v>
      </c>
      <c r="R79" s="25"/>
      <c r="S79" s="9">
        <v>1129900</v>
      </c>
      <c r="T79" s="10">
        <v>1129900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39</v>
      </c>
      <c r="G80" s="23" t="s">
        <v>150</v>
      </c>
      <c r="H80" s="7" t="s">
        <v>5</v>
      </c>
      <c r="I80" s="8" t="s">
        <v>6</v>
      </c>
      <c r="J80" s="44">
        <v>4249370800</v>
      </c>
      <c r="K80" s="44">
        <v>19275523.649999999</v>
      </c>
      <c r="L80" s="44">
        <f>4258800+229900+70074948+54600000+45401356+93043212+192000000+32817251</f>
        <v>492425467</v>
      </c>
      <c r="M80" s="44">
        <f t="shared" si="23"/>
        <v>3776220856.6500001</v>
      </c>
      <c r="N80" s="9">
        <v>3284400000</v>
      </c>
      <c r="O80" s="44">
        <v>488820856.64999998</v>
      </c>
      <c r="P80" s="27">
        <f t="shared" si="22"/>
        <v>3000000</v>
      </c>
      <c r="Q80" s="9">
        <v>438820856.64999998</v>
      </c>
      <c r="R80" s="25">
        <f t="shared" ref="R80:R91" si="28">IF(Q80&gt;1,Q80/(M80-N80),0)</f>
        <v>0.89223718497624205</v>
      </c>
      <c r="S80" s="9">
        <v>201956856.65000001</v>
      </c>
      <c r="T80" s="10">
        <v>201956856.65000001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40</v>
      </c>
      <c r="G81" s="23" t="s">
        <v>138</v>
      </c>
      <c r="H81" s="7" t="s">
        <v>5</v>
      </c>
      <c r="I81" s="8" t="s">
        <v>6</v>
      </c>
      <c r="J81" s="44">
        <v>771516577</v>
      </c>
      <c r="K81" s="44"/>
      <c r="L81" s="44">
        <f>16877661+106041583+19000000+4583500</f>
        <v>146502744</v>
      </c>
      <c r="M81" s="44">
        <f t="shared" si="23"/>
        <v>625013833</v>
      </c>
      <c r="N81" s="9">
        <v>0</v>
      </c>
      <c r="O81" s="44">
        <v>300682264</v>
      </c>
      <c r="P81" s="27">
        <f t="shared" si="22"/>
        <v>324331569</v>
      </c>
      <c r="Q81" s="9">
        <v>162391033.77000001</v>
      </c>
      <c r="R81" s="25">
        <f t="shared" si="28"/>
        <v>0.25981990349004003</v>
      </c>
      <c r="S81" s="9">
        <v>162391033.77000001</v>
      </c>
      <c r="T81" s="10">
        <v>162391033.77000001</v>
      </c>
    </row>
    <row r="82" spans="1:259" s="6" customFormat="1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42</v>
      </c>
      <c r="G82" s="23" t="s">
        <v>139</v>
      </c>
      <c r="H82" s="7" t="s">
        <v>5</v>
      </c>
      <c r="I82" s="8" t="s">
        <v>6</v>
      </c>
      <c r="J82" s="44">
        <v>15465032889</v>
      </c>
      <c r="K82" s="44"/>
      <c r="L82" s="44">
        <f>78737919.66+40890758+116385232+43200000+92578039+52636119+5000000+36023304+866342+29194257+24905710+70347400+22910883+35431530+100000000+18434631</f>
        <v>767542124.65999997</v>
      </c>
      <c r="M82" s="44">
        <f t="shared" si="23"/>
        <v>14697490764.34</v>
      </c>
      <c r="N82" s="9">
        <v>0</v>
      </c>
      <c r="O82" s="44">
        <v>14596434977.84</v>
      </c>
      <c r="P82" s="27">
        <f t="shared" si="22"/>
        <v>101055786.5</v>
      </c>
      <c r="Q82" s="9">
        <v>14596434977.84</v>
      </c>
      <c r="R82" s="25">
        <f t="shared" si="28"/>
        <v>0.99312428304121214</v>
      </c>
      <c r="S82" s="9">
        <v>6732735743.7200003</v>
      </c>
      <c r="T82" s="10">
        <v>6732735743.7200003</v>
      </c>
    </row>
    <row r="83" spans="1:259" s="6" customFormat="1" ht="33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44</v>
      </c>
      <c r="G83" s="23" t="s">
        <v>140</v>
      </c>
      <c r="H83" s="7" t="s">
        <v>5</v>
      </c>
      <c r="I83" s="63" t="s">
        <v>6</v>
      </c>
      <c r="J83" s="44">
        <v>372795117</v>
      </c>
      <c r="K83" s="44">
        <f>14999692.55+9769956+95440714+1573883+36385232+15875000+14625077+45401356+20073389+30000000+52193000+20000000+7050000+1967725+105000000+10000000</f>
        <v>480355024.55000001</v>
      </c>
      <c r="L83" s="44">
        <f>2702156+4200750+3500000+15000000+23758500+5000000+2653929+4654217</f>
        <v>61469552</v>
      </c>
      <c r="M83" s="44">
        <f>J83+K83-L83</f>
        <v>791680589.54999995</v>
      </c>
      <c r="N83" s="9">
        <v>0</v>
      </c>
      <c r="O83" s="44">
        <v>294589927.55000001</v>
      </c>
      <c r="P83" s="27">
        <f t="shared" si="22"/>
        <v>497090661.99999994</v>
      </c>
      <c r="Q83" s="9">
        <v>189674399.55000001</v>
      </c>
      <c r="R83" s="25">
        <f t="shared" si="28"/>
        <v>0.23958450169633821</v>
      </c>
      <c r="S83" s="9">
        <v>120508196.55</v>
      </c>
      <c r="T83" s="10">
        <v>120508196.55</v>
      </c>
    </row>
    <row r="84" spans="1:259" s="6" customFormat="1" ht="24.7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39</v>
      </c>
      <c r="G84" s="23" t="s">
        <v>141</v>
      </c>
      <c r="H84" s="7" t="s">
        <v>5</v>
      </c>
      <c r="I84" s="8" t="s">
        <v>6</v>
      </c>
      <c r="J84" s="44">
        <v>589530283</v>
      </c>
      <c r="K84" s="44">
        <f>12641984+3424800+8575000+17689712</f>
        <v>42331496</v>
      </c>
      <c r="L84" s="44">
        <f>12641984+6629450</f>
        <v>19271434</v>
      </c>
      <c r="M84" s="44">
        <f>J84+K84-L84</f>
        <v>612590345</v>
      </c>
      <c r="N84" s="9">
        <v>0</v>
      </c>
      <c r="O84" s="44">
        <v>572593204</v>
      </c>
      <c r="P84" s="27">
        <f t="shared" si="22"/>
        <v>39997141</v>
      </c>
      <c r="Q84" s="9">
        <v>138971000</v>
      </c>
      <c r="R84" s="25">
        <f t="shared" si="28"/>
        <v>0.22685796655838578</v>
      </c>
      <c r="S84" s="9">
        <v>0</v>
      </c>
      <c r="T84" s="10">
        <v>0</v>
      </c>
    </row>
    <row r="85" spans="1:259" s="6" customFormat="1" ht="41.2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40</v>
      </c>
      <c r="G85" s="23" t="s">
        <v>142</v>
      </c>
      <c r="H85" s="7" t="s">
        <v>5</v>
      </c>
      <c r="I85" s="8" t="s">
        <v>6</v>
      </c>
      <c r="J85" s="44">
        <v>641562697</v>
      </c>
      <c r="K85" s="44">
        <f>15500000+6400000+11466906</f>
        <v>33366906</v>
      </c>
      <c r="L85" s="44">
        <f>7429347+520000</f>
        <v>7949347</v>
      </c>
      <c r="M85" s="44">
        <f t="shared" si="23"/>
        <v>666980256</v>
      </c>
      <c r="N85" s="9">
        <v>0</v>
      </c>
      <c r="O85" s="44">
        <v>579742389.58000004</v>
      </c>
      <c r="P85" s="27">
        <f t="shared" si="22"/>
        <v>87237866.419999957</v>
      </c>
      <c r="Q85" s="9">
        <v>463993332.22000003</v>
      </c>
      <c r="R85" s="25">
        <f t="shared" si="28"/>
        <v>0.69566276969374041</v>
      </c>
      <c r="S85" s="9">
        <v>270949720.74000001</v>
      </c>
      <c r="T85" s="10">
        <v>270949720.74000001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151</v>
      </c>
      <c r="H86" s="7" t="s">
        <v>5</v>
      </c>
      <c r="I86" s="8" t="s">
        <v>6</v>
      </c>
      <c r="J86" s="44">
        <v>697500000</v>
      </c>
      <c r="K86" s="44">
        <f>15000000+100</f>
        <v>15000100</v>
      </c>
      <c r="L86" s="44"/>
      <c r="M86" s="44">
        <f t="shared" si="23"/>
        <v>712500100</v>
      </c>
      <c r="N86" s="9">
        <v>0</v>
      </c>
      <c r="O86" s="44">
        <v>651889643</v>
      </c>
      <c r="P86" s="27">
        <f t="shared" si="22"/>
        <v>60610457</v>
      </c>
      <c r="Q86" s="9">
        <v>521389543</v>
      </c>
      <c r="R86" s="25">
        <f t="shared" si="28"/>
        <v>0.73177469448776222</v>
      </c>
      <c r="S86" s="9">
        <v>18200569</v>
      </c>
      <c r="T86" s="10">
        <v>18200569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  <c r="IW86" s="6">
        <v>408287880</v>
      </c>
      <c r="IX86" s="6">
        <v>408287880</v>
      </c>
      <c r="IY86" s="6">
        <v>408287880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47</v>
      </c>
      <c r="F87" s="7"/>
      <c r="G87" s="23" t="s">
        <v>73</v>
      </c>
      <c r="H87" s="7" t="s">
        <v>5</v>
      </c>
      <c r="I87" s="8" t="s">
        <v>6</v>
      </c>
      <c r="J87" s="44">
        <v>1772694389</v>
      </c>
      <c r="K87" s="44">
        <f>2000000+7000000+10000000+45000000+25000000+26000000</f>
        <v>115000000</v>
      </c>
      <c r="L87" s="44"/>
      <c r="M87" s="44">
        <f t="shared" si="23"/>
        <v>1887694389</v>
      </c>
      <c r="N87" s="9">
        <v>0</v>
      </c>
      <c r="O87" s="44">
        <v>1861694389</v>
      </c>
      <c r="P87" s="27">
        <f t="shared" si="22"/>
        <v>26000000</v>
      </c>
      <c r="Q87" s="9">
        <v>961659723</v>
      </c>
      <c r="R87" s="25">
        <f t="shared" si="28"/>
        <v>0.50943612938820892</v>
      </c>
      <c r="S87" s="9">
        <v>929158536</v>
      </c>
      <c r="T87" s="10">
        <v>920339529</v>
      </c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5</v>
      </c>
      <c r="I88" s="81" t="s">
        <v>6</v>
      </c>
      <c r="J88" s="64">
        <f t="shared" ref="J88:Q88" si="29">J44+J36</f>
        <v>41726600000</v>
      </c>
      <c r="K88" s="64">
        <f t="shared" si="29"/>
        <v>3447540877.6700006</v>
      </c>
      <c r="L88" s="64">
        <f t="shared" si="29"/>
        <v>3447540877.6700001</v>
      </c>
      <c r="M88" s="64">
        <f t="shared" si="29"/>
        <v>41726600000</v>
      </c>
      <c r="N88" s="64">
        <f t="shared" si="29"/>
        <v>3351200000</v>
      </c>
      <c r="O88" s="64">
        <f t="shared" si="29"/>
        <v>35197630687.919998</v>
      </c>
      <c r="P88" s="64">
        <f t="shared" si="29"/>
        <v>3177769312.0799999</v>
      </c>
      <c r="Q88" s="64">
        <f t="shared" si="29"/>
        <v>29648770690.759998</v>
      </c>
      <c r="R88" s="76">
        <f t="shared" si="28"/>
        <v>0.77259834922267911</v>
      </c>
      <c r="S88" s="64">
        <f>S44+S36</f>
        <v>17649721570.709999</v>
      </c>
      <c r="T88" s="73">
        <f>T44+T36</f>
        <v>17640472163.709999</v>
      </c>
      <c r="U88" s="32">
        <f>+K88-L88</f>
        <v>0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20</v>
      </c>
      <c r="J89" s="64">
        <f t="shared" ref="J89:Q90" si="30">J45</f>
        <v>786000000</v>
      </c>
      <c r="K89" s="64">
        <f t="shared" si="30"/>
        <v>0</v>
      </c>
      <c r="L89" s="64">
        <f t="shared" si="30"/>
        <v>0</v>
      </c>
      <c r="M89" s="64">
        <f t="shared" si="30"/>
        <v>786000000</v>
      </c>
      <c r="N89" s="64">
        <f t="shared" si="30"/>
        <v>0</v>
      </c>
      <c r="O89" s="64">
        <f t="shared" si="30"/>
        <v>217916197</v>
      </c>
      <c r="P89" s="64">
        <f t="shared" si="30"/>
        <v>568083803</v>
      </c>
      <c r="Q89" s="64">
        <f t="shared" si="30"/>
        <v>217916197</v>
      </c>
      <c r="R89" s="76">
        <f t="shared" si="28"/>
        <v>0.27724706997455473</v>
      </c>
      <c r="S89" s="64">
        <f>S45</f>
        <v>216864907</v>
      </c>
      <c r="T89" s="73">
        <f>T45</f>
        <v>216864907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21</v>
      </c>
      <c r="J90" s="64">
        <f t="shared" si="30"/>
        <v>391600000</v>
      </c>
      <c r="K90" s="64">
        <f t="shared" si="30"/>
        <v>0</v>
      </c>
      <c r="L90" s="64">
        <f t="shared" si="30"/>
        <v>0</v>
      </c>
      <c r="M90" s="64">
        <f t="shared" si="30"/>
        <v>391600000</v>
      </c>
      <c r="N90" s="64">
        <f t="shared" si="30"/>
        <v>0</v>
      </c>
      <c r="O90" s="64">
        <f t="shared" si="30"/>
        <v>391600000</v>
      </c>
      <c r="P90" s="64">
        <f t="shared" si="30"/>
        <v>0</v>
      </c>
      <c r="Q90" s="64">
        <f t="shared" si="30"/>
        <v>391600000</v>
      </c>
      <c r="R90" s="76">
        <f t="shared" si="28"/>
        <v>1</v>
      </c>
      <c r="S90" s="64">
        <f>S46</f>
        <v>391600000</v>
      </c>
      <c r="T90" s="73">
        <f>T46</f>
        <v>391600000</v>
      </c>
      <c r="U90" s="32"/>
    </row>
    <row r="91" spans="1:259" ht="15.75" customHeight="1" thickBot="1" x14ac:dyDescent="0.3">
      <c r="A91" s="120" t="s">
        <v>81</v>
      </c>
      <c r="B91" s="121"/>
      <c r="C91" s="121"/>
      <c r="D91" s="121"/>
      <c r="E91" s="121"/>
      <c r="F91" s="121"/>
      <c r="G91" s="121"/>
      <c r="H91" s="121"/>
      <c r="I91" s="122"/>
      <c r="J91" s="77">
        <f t="shared" ref="J91:Q91" si="31">SUM(J88:J90)</f>
        <v>42904200000</v>
      </c>
      <c r="K91" s="77">
        <f t="shared" si="31"/>
        <v>3447540877.6700006</v>
      </c>
      <c r="L91" s="77">
        <f t="shared" si="31"/>
        <v>3447540877.6700001</v>
      </c>
      <c r="M91" s="77">
        <f t="shared" si="31"/>
        <v>42904200000</v>
      </c>
      <c r="N91" s="77">
        <f t="shared" si="31"/>
        <v>3351200000</v>
      </c>
      <c r="O91" s="77">
        <f t="shared" si="31"/>
        <v>35807146884.919998</v>
      </c>
      <c r="P91" s="77">
        <f t="shared" si="31"/>
        <v>3745853115.0799999</v>
      </c>
      <c r="Q91" s="77">
        <f t="shared" si="31"/>
        <v>30258286887.759998</v>
      </c>
      <c r="R91" s="76">
        <f t="shared" si="28"/>
        <v>0.76500611553510478</v>
      </c>
      <c r="S91" s="77">
        <f>SUM(S88:S90)</f>
        <v>18258186477.709999</v>
      </c>
      <c r="T91" s="78">
        <f>SUM(T88:T90)</f>
        <v>18248937070.709999</v>
      </c>
    </row>
    <row r="92" spans="1:259" ht="15.75" customHeight="1" thickBot="1" x14ac:dyDescent="0.3">
      <c r="A92" s="114" t="s">
        <v>87</v>
      </c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6"/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/>
      <c r="E93" s="11"/>
      <c r="F93" s="11"/>
      <c r="G93" s="12" t="s">
        <v>108</v>
      </c>
      <c r="H93" s="11" t="s">
        <v>5</v>
      </c>
      <c r="I93" s="13">
        <v>10</v>
      </c>
      <c r="J93" s="14">
        <f>J94</f>
        <v>14221800000</v>
      </c>
      <c r="K93" s="14">
        <f t="shared" ref="K93:L93" si="32">K94</f>
        <v>0</v>
      </c>
      <c r="L93" s="24">
        <f t="shared" si="32"/>
        <v>0</v>
      </c>
      <c r="M93" s="24">
        <f>M94</f>
        <v>14221800000</v>
      </c>
      <c r="N93" s="14">
        <f>N94</f>
        <v>12721800000</v>
      </c>
      <c r="O93" s="14">
        <f>O94</f>
        <v>1494755763</v>
      </c>
      <c r="P93" s="24">
        <f>P94</f>
        <v>5244237</v>
      </c>
      <c r="Q93" s="14">
        <f t="shared" ref="Q93" si="33">Q94</f>
        <v>319755763</v>
      </c>
      <c r="R93" s="50">
        <f t="shared" ref="R93:R105" si="34">IF(Q93&gt;1,Q93/(M93-N93),0)</f>
        <v>0.21317050866666667</v>
      </c>
      <c r="S93" s="14">
        <f>S94</f>
        <v>0</v>
      </c>
      <c r="T93" s="22">
        <f>T94</f>
        <v>0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 t="s">
        <v>34</v>
      </c>
      <c r="E94" s="11"/>
      <c r="F94" s="11"/>
      <c r="G94" s="12" t="s">
        <v>89</v>
      </c>
      <c r="H94" s="11" t="s">
        <v>5</v>
      </c>
      <c r="I94" s="13">
        <v>10</v>
      </c>
      <c r="J94" s="14">
        <f>J96+J95</f>
        <v>14221800000</v>
      </c>
      <c r="K94" s="14">
        <f t="shared" ref="K94:L94" si="35">K96+K95</f>
        <v>0</v>
      </c>
      <c r="L94" s="24">
        <f t="shared" si="35"/>
        <v>0</v>
      </c>
      <c r="M94" s="24">
        <f>M96+M95</f>
        <v>14221800000</v>
      </c>
      <c r="N94" s="14">
        <f>N96+N95</f>
        <v>12721800000</v>
      </c>
      <c r="O94" s="14">
        <f>O96+O95</f>
        <v>1494755763</v>
      </c>
      <c r="P94" s="24">
        <f>P96+P95</f>
        <v>5244237</v>
      </c>
      <c r="Q94" s="14">
        <f>Q96+Q95</f>
        <v>319755763</v>
      </c>
      <c r="R94" s="50">
        <f t="shared" si="34"/>
        <v>0.21317050866666667</v>
      </c>
      <c r="S94" s="14">
        <f>S96+S95</f>
        <v>0</v>
      </c>
      <c r="T94" s="22">
        <f>T96+T95</f>
        <v>0</v>
      </c>
    </row>
    <row r="95" spans="1:259" s="47" customFormat="1" ht="24.75" customHeight="1" x14ac:dyDescent="0.25">
      <c r="A95" s="91" t="s">
        <v>3</v>
      </c>
      <c r="B95" s="7" t="s">
        <v>51</v>
      </c>
      <c r="C95" s="7" t="s">
        <v>51</v>
      </c>
      <c r="D95" s="7" t="s">
        <v>34</v>
      </c>
      <c r="E95" s="7" t="s">
        <v>158</v>
      </c>
      <c r="F95" s="7"/>
      <c r="G95" s="23" t="s">
        <v>159</v>
      </c>
      <c r="H95" s="7" t="s">
        <v>5</v>
      </c>
      <c r="I95" s="8">
        <v>10</v>
      </c>
      <c r="J95" s="9">
        <v>1500000000</v>
      </c>
      <c r="K95" s="9">
        <v>0</v>
      </c>
      <c r="L95" s="27">
        <v>0</v>
      </c>
      <c r="M95" s="27">
        <f>J95+K95-L95</f>
        <v>1500000000</v>
      </c>
      <c r="N95" s="9">
        <v>0</v>
      </c>
      <c r="O95" s="9">
        <v>1494755763</v>
      </c>
      <c r="P95" s="27">
        <f>M95-O95-N95</f>
        <v>5244237</v>
      </c>
      <c r="Q95" s="9">
        <v>319755763</v>
      </c>
      <c r="R95" s="96">
        <f t="shared" si="34"/>
        <v>0.21317050866666667</v>
      </c>
      <c r="S95" s="9">
        <v>0</v>
      </c>
      <c r="T95" s="10">
        <v>0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>
        <v>999</v>
      </c>
      <c r="F96" s="7"/>
      <c r="G96" s="23" t="s">
        <v>149</v>
      </c>
      <c r="H96" s="7" t="s">
        <v>5</v>
      </c>
      <c r="I96" s="8">
        <v>10</v>
      </c>
      <c r="J96" s="9">
        <v>12721800000</v>
      </c>
      <c r="K96" s="9">
        <v>0</v>
      </c>
      <c r="L96" s="27">
        <v>0</v>
      </c>
      <c r="M96" s="27">
        <f t="shared" ref="M96:M103" si="36">J96+K96-L96</f>
        <v>12721800000</v>
      </c>
      <c r="N96" s="9">
        <v>12721800000</v>
      </c>
      <c r="O96" s="9">
        <v>0</v>
      </c>
      <c r="P96" s="27">
        <f>+M96-O96-N96</f>
        <v>0</v>
      </c>
      <c r="Q96" s="9">
        <v>0</v>
      </c>
      <c r="R96" s="50">
        <f>IF(Q96&gt;1,Q96/(M96-N96),0)</f>
        <v>0</v>
      </c>
      <c r="S96" s="9">
        <v>0</v>
      </c>
      <c r="T96" s="10">
        <v>0</v>
      </c>
    </row>
    <row r="97" spans="1:22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/>
      <c r="E97" s="11"/>
      <c r="F97" s="11"/>
      <c r="G97" s="12" t="s">
        <v>145</v>
      </c>
      <c r="H97" s="11" t="s">
        <v>5</v>
      </c>
      <c r="I97" s="13">
        <v>10</v>
      </c>
      <c r="J97" s="14">
        <f>J98</f>
        <v>1262700000</v>
      </c>
      <c r="K97" s="14">
        <f t="shared" ref="K97:L98" si="37">K98</f>
        <v>0</v>
      </c>
      <c r="L97" s="24">
        <f t="shared" si="37"/>
        <v>0</v>
      </c>
      <c r="M97" s="27">
        <f t="shared" si="36"/>
        <v>1262700000</v>
      </c>
      <c r="N97" s="14">
        <v>0</v>
      </c>
      <c r="O97" s="14">
        <f t="shared" ref="O97:Q98" si="38">O98</f>
        <v>748814188</v>
      </c>
      <c r="P97" s="24">
        <f t="shared" si="38"/>
        <v>513885812</v>
      </c>
      <c r="Q97" s="14">
        <f t="shared" si="38"/>
        <v>748814188</v>
      </c>
      <c r="R97" s="50">
        <f>IF(Q97&gt;1,Q97/(M97-N97),0)</f>
        <v>0.59302620416567675</v>
      </c>
      <c r="S97" s="14">
        <f>S98</f>
        <v>641345609</v>
      </c>
      <c r="T97" s="22">
        <f>T98</f>
        <v>641345609</v>
      </c>
    </row>
    <row r="98" spans="1:22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/>
      <c r="F98" s="11"/>
      <c r="G98" s="12" t="s">
        <v>109</v>
      </c>
      <c r="H98" s="11" t="s">
        <v>5</v>
      </c>
      <c r="I98" s="13">
        <v>10</v>
      </c>
      <c r="J98" s="24">
        <f>J99</f>
        <v>1262700000</v>
      </c>
      <c r="K98" s="24">
        <f t="shared" si="37"/>
        <v>0</v>
      </c>
      <c r="L98" s="24">
        <f t="shared" si="37"/>
        <v>0</v>
      </c>
      <c r="M98" s="27">
        <f t="shared" si="36"/>
        <v>1262700000</v>
      </c>
      <c r="N98" s="24"/>
      <c r="O98" s="24">
        <f t="shared" si="38"/>
        <v>748814188</v>
      </c>
      <c r="P98" s="24">
        <f t="shared" si="38"/>
        <v>513885812</v>
      </c>
      <c r="Q98" s="14">
        <f t="shared" si="38"/>
        <v>748814188</v>
      </c>
      <c r="R98" s="50">
        <f t="shared" si="34"/>
        <v>0.59302620416567675</v>
      </c>
      <c r="S98" s="14">
        <f>S99</f>
        <v>641345609</v>
      </c>
      <c r="T98" s="22">
        <f>T99</f>
        <v>641345609</v>
      </c>
    </row>
    <row r="99" spans="1:22" s="6" customFormat="1" ht="16.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 t="s">
        <v>71</v>
      </c>
      <c r="F99" s="11"/>
      <c r="G99" s="12" t="s">
        <v>82</v>
      </c>
      <c r="H99" s="11" t="s">
        <v>5</v>
      </c>
      <c r="I99" s="13">
        <v>10</v>
      </c>
      <c r="J99" s="24">
        <f>J100+J101</f>
        <v>1262700000</v>
      </c>
      <c r="K99" s="24">
        <f t="shared" ref="K99:L99" si="39">K100+K101</f>
        <v>0</v>
      </c>
      <c r="L99" s="24">
        <f t="shared" si="39"/>
        <v>0</v>
      </c>
      <c r="M99" s="27">
        <f t="shared" si="36"/>
        <v>1262700000</v>
      </c>
      <c r="N99" s="24">
        <f>N100+N101</f>
        <v>0</v>
      </c>
      <c r="O99" s="24">
        <f>O100+O101</f>
        <v>748814188</v>
      </c>
      <c r="P99" s="24">
        <f>P100+P101</f>
        <v>513885812</v>
      </c>
      <c r="Q99" s="24">
        <f>Q100+Q101</f>
        <v>748814188</v>
      </c>
      <c r="R99" s="26">
        <f t="shared" si="34"/>
        <v>0.59302620416567675</v>
      </c>
      <c r="S99" s="14">
        <f>S100+S101</f>
        <v>641345609</v>
      </c>
      <c r="T99" s="22">
        <f>T100+T101</f>
        <v>641345609</v>
      </c>
    </row>
    <row r="100" spans="1:22" s="6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35</v>
      </c>
      <c r="G100" s="23" t="s">
        <v>74</v>
      </c>
      <c r="H100" s="7" t="s">
        <v>5</v>
      </c>
      <c r="I100" s="7" t="s">
        <v>6</v>
      </c>
      <c r="J100" s="27">
        <v>661204158</v>
      </c>
      <c r="K100" s="27">
        <v>0</v>
      </c>
      <c r="L100" s="27">
        <v>0</v>
      </c>
      <c r="M100" s="27">
        <f t="shared" si="36"/>
        <v>661204158</v>
      </c>
      <c r="N100" s="9"/>
      <c r="O100" s="27">
        <v>511272771</v>
      </c>
      <c r="P100" s="27">
        <f>+M100-O100-N100</f>
        <v>149931387</v>
      </c>
      <c r="Q100" s="27">
        <v>511272771</v>
      </c>
      <c r="R100" s="25">
        <f t="shared" si="34"/>
        <v>0.77324494229813967</v>
      </c>
      <c r="S100" s="27">
        <v>403804192</v>
      </c>
      <c r="T100" s="51">
        <v>403804192</v>
      </c>
    </row>
    <row r="101" spans="1:22" s="47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37</v>
      </c>
      <c r="G101" s="23" t="s">
        <v>75</v>
      </c>
      <c r="H101" s="7" t="s">
        <v>5</v>
      </c>
      <c r="I101" s="7" t="s">
        <v>6</v>
      </c>
      <c r="J101" s="27">
        <v>601495842</v>
      </c>
      <c r="K101" s="27">
        <v>0</v>
      </c>
      <c r="L101" s="27">
        <v>0</v>
      </c>
      <c r="M101" s="27">
        <f t="shared" si="36"/>
        <v>601495842</v>
      </c>
      <c r="N101" s="9">
        <v>0</v>
      </c>
      <c r="O101" s="27">
        <v>237541417</v>
      </c>
      <c r="P101" s="27">
        <f>+M101-O101-N101</f>
        <v>363954425</v>
      </c>
      <c r="Q101" s="27">
        <v>237541417</v>
      </c>
      <c r="R101" s="25">
        <f t="shared" si="34"/>
        <v>0.39491780393720494</v>
      </c>
      <c r="S101" s="27">
        <v>237541417</v>
      </c>
      <c r="T101" s="51">
        <v>237541417</v>
      </c>
    </row>
    <row r="102" spans="1:22" s="6" customFormat="1" ht="16.5" customHeight="1" x14ac:dyDescent="0.25">
      <c r="A102" s="90" t="s">
        <v>3</v>
      </c>
      <c r="B102" s="11" t="s">
        <v>51</v>
      </c>
      <c r="C102" s="11" t="s">
        <v>6</v>
      </c>
      <c r="D102" s="11"/>
      <c r="E102" s="11"/>
      <c r="F102" s="11"/>
      <c r="G102" s="12" t="s">
        <v>86</v>
      </c>
      <c r="H102" s="11" t="s">
        <v>5</v>
      </c>
      <c r="I102" s="11">
        <v>11</v>
      </c>
      <c r="J102" s="24">
        <f>J103</f>
        <v>1015700000</v>
      </c>
      <c r="K102" s="24">
        <f t="shared" ref="K102:L102" si="40">K103</f>
        <v>0</v>
      </c>
      <c r="L102" s="24">
        <f t="shared" si="40"/>
        <v>0</v>
      </c>
      <c r="M102" s="27">
        <f t="shared" si="36"/>
        <v>1015700000</v>
      </c>
      <c r="N102" s="14">
        <f>N103</f>
        <v>0</v>
      </c>
      <c r="O102" s="24">
        <f>O103</f>
        <v>0</v>
      </c>
      <c r="P102" s="24">
        <f>P103</f>
        <v>1015700000</v>
      </c>
      <c r="Q102" s="24">
        <f>Q103</f>
        <v>0</v>
      </c>
      <c r="R102" s="26">
        <f t="shared" si="34"/>
        <v>0</v>
      </c>
      <c r="S102" s="24">
        <f>S103</f>
        <v>0</v>
      </c>
      <c r="T102" s="33">
        <f>T103</f>
        <v>0</v>
      </c>
    </row>
    <row r="103" spans="1:22" s="6" customFormat="1" ht="16.5" customHeight="1" x14ac:dyDescent="0.25">
      <c r="A103" s="90" t="s">
        <v>3</v>
      </c>
      <c r="B103" s="71" t="s">
        <v>51</v>
      </c>
      <c r="C103" s="7" t="s">
        <v>6</v>
      </c>
      <c r="D103" s="7"/>
      <c r="E103" s="7"/>
      <c r="F103" s="7"/>
      <c r="G103" s="23" t="s">
        <v>86</v>
      </c>
      <c r="H103" s="7" t="s">
        <v>5</v>
      </c>
      <c r="I103" s="7">
        <v>11</v>
      </c>
      <c r="J103" s="27">
        <v>1015700000</v>
      </c>
      <c r="K103" s="27">
        <v>0</v>
      </c>
      <c r="L103" s="27">
        <v>0</v>
      </c>
      <c r="M103" s="27">
        <f t="shared" si="36"/>
        <v>1015700000</v>
      </c>
      <c r="N103" s="9">
        <v>0</v>
      </c>
      <c r="O103" s="9">
        <v>0</v>
      </c>
      <c r="P103" s="27">
        <f>+M103-O103-N103</f>
        <v>1015700000</v>
      </c>
      <c r="Q103" s="27">
        <v>0</v>
      </c>
      <c r="R103" s="25">
        <f t="shared" si="34"/>
        <v>0</v>
      </c>
      <c r="S103" s="27">
        <v>0</v>
      </c>
      <c r="T103" s="51">
        <v>0</v>
      </c>
    </row>
    <row r="104" spans="1:22" s="55" customFormat="1" ht="16.5" customHeight="1" x14ac:dyDescent="0.25">
      <c r="A104" s="92" t="s">
        <v>3</v>
      </c>
      <c r="B104" s="81" t="s">
        <v>51</v>
      </c>
      <c r="C104" s="81"/>
      <c r="D104" s="81"/>
      <c r="E104" s="81"/>
      <c r="F104" s="81"/>
      <c r="G104" s="82" t="s">
        <v>17</v>
      </c>
      <c r="H104" s="81" t="s">
        <v>5</v>
      </c>
      <c r="I104" s="83" t="s">
        <v>6</v>
      </c>
      <c r="J104" s="64">
        <f>J102+J97+J93</f>
        <v>16500200000</v>
      </c>
      <c r="K104" s="64">
        <f t="shared" ref="K104:L104" si="41">K102+K97+K93</f>
        <v>0</v>
      </c>
      <c r="L104" s="64">
        <f t="shared" si="41"/>
        <v>0</v>
      </c>
      <c r="M104" s="64">
        <f>M102+M97+M93</f>
        <v>16500200000</v>
      </c>
      <c r="N104" s="64">
        <f>N102+N97+N93</f>
        <v>12721800000</v>
      </c>
      <c r="O104" s="64">
        <f>O102+O97+O93</f>
        <v>2243569951</v>
      </c>
      <c r="P104" s="64">
        <f>P102+P97+P93</f>
        <v>1534830049</v>
      </c>
      <c r="Q104" s="64">
        <f>Q102+Q97+Q93</f>
        <v>1068569951</v>
      </c>
      <c r="R104" s="76">
        <f t="shared" si="34"/>
        <v>0.28281017123650221</v>
      </c>
      <c r="S104" s="64">
        <f>S102+S97+S93</f>
        <v>641345609</v>
      </c>
      <c r="T104" s="73">
        <f>T102+T97+T93</f>
        <v>641345609</v>
      </c>
      <c r="U104" s="54"/>
      <c r="V104" s="54"/>
    </row>
    <row r="105" spans="1:22" s="6" customFormat="1" ht="16.5" customHeight="1" thickBot="1" x14ac:dyDescent="0.3">
      <c r="A105" s="120" t="s">
        <v>27</v>
      </c>
      <c r="B105" s="121"/>
      <c r="C105" s="121"/>
      <c r="D105" s="121"/>
      <c r="E105" s="121"/>
      <c r="F105" s="121"/>
      <c r="G105" s="121"/>
      <c r="H105" s="121"/>
      <c r="I105" s="122"/>
      <c r="J105" s="77">
        <f>J104</f>
        <v>16500200000</v>
      </c>
      <c r="K105" s="77">
        <f t="shared" ref="K105:L105" si="42">K104</f>
        <v>0</v>
      </c>
      <c r="L105" s="77">
        <f t="shared" si="42"/>
        <v>0</v>
      </c>
      <c r="M105" s="77">
        <f>M104</f>
        <v>16500200000</v>
      </c>
      <c r="N105" s="77">
        <f>N104</f>
        <v>12721800000</v>
      </c>
      <c r="O105" s="77">
        <f>O104</f>
        <v>2243569951</v>
      </c>
      <c r="P105" s="77">
        <f>P104</f>
        <v>1534830049</v>
      </c>
      <c r="Q105" s="77">
        <f>Q104</f>
        <v>1068569951</v>
      </c>
      <c r="R105" s="76">
        <f t="shared" si="34"/>
        <v>0.28281017123650221</v>
      </c>
      <c r="S105" s="77">
        <f>S104</f>
        <v>641345609</v>
      </c>
      <c r="T105" s="78">
        <f>T104</f>
        <v>641345609</v>
      </c>
    </row>
    <row r="106" spans="1:22" s="47" customFormat="1" ht="16.5" customHeight="1" thickBot="1" x14ac:dyDescent="0.3">
      <c r="A106" s="114" t="s">
        <v>106</v>
      </c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6"/>
    </row>
    <row r="107" spans="1:22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85</v>
      </c>
      <c r="H107" s="11" t="s">
        <v>5</v>
      </c>
      <c r="I107" s="11" t="s">
        <v>6</v>
      </c>
      <c r="J107" s="24">
        <f>J109</f>
        <v>469200000</v>
      </c>
      <c r="K107" s="24">
        <f t="shared" ref="K107:L107" si="43">K109</f>
        <v>0</v>
      </c>
      <c r="L107" s="24">
        <f t="shared" si="43"/>
        <v>0</v>
      </c>
      <c r="M107" s="24">
        <f>M109</f>
        <v>469200000</v>
      </c>
      <c r="N107" s="24">
        <f>N109+N113</f>
        <v>41941000</v>
      </c>
      <c r="O107" s="24">
        <f>O109</f>
        <v>427258701</v>
      </c>
      <c r="P107" s="24">
        <f>P109</f>
        <v>299</v>
      </c>
      <c r="Q107" s="24">
        <f>Q109</f>
        <v>427258701</v>
      </c>
      <c r="R107" s="26">
        <f>IF(Q107&gt;1,Q107/(M107-N107),0)</f>
        <v>0.99999930019028271</v>
      </c>
      <c r="S107" s="24">
        <f>S109</f>
        <v>427258701</v>
      </c>
      <c r="T107" s="33">
        <f>T109</f>
        <v>427258701</v>
      </c>
    </row>
    <row r="108" spans="1:22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85</v>
      </c>
      <c r="H108" s="11" t="s">
        <v>5</v>
      </c>
      <c r="I108" s="11">
        <v>11</v>
      </c>
      <c r="J108" s="24">
        <f>J112</f>
        <v>850000000</v>
      </c>
      <c r="K108" s="24">
        <f t="shared" ref="K108:L108" si="44">K112</f>
        <v>0</v>
      </c>
      <c r="L108" s="24">
        <f t="shared" si="44"/>
        <v>0</v>
      </c>
      <c r="M108" s="24">
        <f>M112</f>
        <v>850000000</v>
      </c>
      <c r="N108" s="24">
        <f>N112</f>
        <v>0</v>
      </c>
      <c r="O108" s="24">
        <f>O112</f>
        <v>0</v>
      </c>
      <c r="P108" s="24">
        <f>P112</f>
        <v>850000000</v>
      </c>
      <c r="Q108" s="24">
        <f>Q112</f>
        <v>0</v>
      </c>
      <c r="R108" s="26">
        <f t="shared" ref="R108:R121" si="45">IF(Q108&gt;1,Q108/(M108-N108),0)</f>
        <v>0</v>
      </c>
      <c r="S108" s="24">
        <f>S112</f>
        <v>0</v>
      </c>
      <c r="T108" s="33">
        <f>T112</f>
        <v>0</v>
      </c>
    </row>
    <row r="109" spans="1:22" s="6" customFormat="1" ht="16.5" customHeight="1" x14ac:dyDescent="0.25">
      <c r="A109" s="90" t="s">
        <v>3</v>
      </c>
      <c r="B109" s="11" t="s">
        <v>72</v>
      </c>
      <c r="C109" s="11" t="s">
        <v>34</v>
      </c>
      <c r="D109" s="11"/>
      <c r="E109" s="11"/>
      <c r="F109" s="11"/>
      <c r="G109" s="12" t="s">
        <v>83</v>
      </c>
      <c r="H109" s="11" t="s">
        <v>5</v>
      </c>
      <c r="I109" s="11" t="s">
        <v>6</v>
      </c>
      <c r="J109" s="24">
        <f>J110+J111</f>
        <v>469200000</v>
      </c>
      <c r="K109" s="24">
        <f t="shared" ref="K109:L109" si="46">K110+K111</f>
        <v>0</v>
      </c>
      <c r="L109" s="24">
        <f t="shared" si="46"/>
        <v>0</v>
      </c>
      <c r="M109" s="24">
        <f>M110+M111</f>
        <v>469200000</v>
      </c>
      <c r="N109" s="24">
        <f>N110+N111</f>
        <v>41941000</v>
      </c>
      <c r="O109" s="24">
        <f>O110+O111</f>
        <v>427258701</v>
      </c>
      <c r="P109" s="24">
        <f>M109-O109-N109</f>
        <v>299</v>
      </c>
      <c r="Q109" s="24">
        <f>Q110+Q111</f>
        <v>427258701</v>
      </c>
      <c r="R109" s="26">
        <f>IF(Q109&gt;1,Q109/(M109-N109),0)</f>
        <v>0.99999930019028271</v>
      </c>
      <c r="S109" s="24">
        <f>S110+S111</f>
        <v>427258701</v>
      </c>
      <c r="T109" s="33">
        <f>T110+T111</f>
        <v>427258701</v>
      </c>
    </row>
    <row r="110" spans="1:22" s="6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35</v>
      </c>
      <c r="F110" s="7"/>
      <c r="G110" s="23" t="s">
        <v>76</v>
      </c>
      <c r="H110" s="7" t="s">
        <v>5</v>
      </c>
      <c r="I110" s="7" t="s">
        <v>6</v>
      </c>
      <c r="J110" s="27">
        <v>458200000</v>
      </c>
      <c r="K110" s="27">
        <v>0</v>
      </c>
      <c r="L110" s="27">
        <v>0</v>
      </c>
      <c r="M110" s="27">
        <f>J110+K110-L110</f>
        <v>458200000</v>
      </c>
      <c r="N110" s="9">
        <f>41941000-2646700</f>
        <v>39294300</v>
      </c>
      <c r="O110" s="27">
        <v>418905401</v>
      </c>
      <c r="P110" s="27">
        <f>+M110-O110-N110</f>
        <v>299</v>
      </c>
      <c r="Q110" s="27">
        <v>418905401</v>
      </c>
      <c r="R110" s="26">
        <f>IF(Q110&gt;1,Q110/(M110-N110),0)</f>
        <v>0.9999992862355418</v>
      </c>
      <c r="S110" s="27">
        <v>418905401</v>
      </c>
      <c r="T110" s="51">
        <v>418905401</v>
      </c>
    </row>
    <row r="111" spans="1:22" s="47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43</v>
      </c>
      <c r="F111" s="7"/>
      <c r="G111" s="23" t="s">
        <v>77</v>
      </c>
      <c r="H111" s="7" t="s">
        <v>5</v>
      </c>
      <c r="I111" s="7" t="s">
        <v>6</v>
      </c>
      <c r="J111" s="27">
        <v>11000000</v>
      </c>
      <c r="K111" s="27">
        <v>0</v>
      </c>
      <c r="L111" s="27">
        <v>0</v>
      </c>
      <c r="M111" s="27">
        <f>J111+K111-L111</f>
        <v>11000000</v>
      </c>
      <c r="N111" s="9">
        <v>2646700</v>
      </c>
      <c r="O111" s="27">
        <v>8353300</v>
      </c>
      <c r="P111" s="27">
        <f>+M111-O111-N111</f>
        <v>0</v>
      </c>
      <c r="Q111" s="27">
        <v>8353300</v>
      </c>
      <c r="R111" s="26">
        <f t="shared" si="45"/>
        <v>1</v>
      </c>
      <c r="S111" s="27">
        <v>8353300</v>
      </c>
      <c r="T111" s="51">
        <v>8353300</v>
      </c>
    </row>
    <row r="112" spans="1:22" s="47" customFormat="1" ht="16.5" customHeight="1" x14ac:dyDescent="0.25">
      <c r="A112" s="90" t="s">
        <v>3</v>
      </c>
      <c r="B112" s="11" t="s">
        <v>72</v>
      </c>
      <c r="C112" s="11" t="s">
        <v>70</v>
      </c>
      <c r="D112" s="11"/>
      <c r="E112" s="11"/>
      <c r="F112" s="11"/>
      <c r="G112" s="12" t="s">
        <v>143</v>
      </c>
      <c r="H112" s="11" t="s">
        <v>5</v>
      </c>
      <c r="I112" s="11">
        <v>11</v>
      </c>
      <c r="J112" s="24">
        <f>J113</f>
        <v>850000000</v>
      </c>
      <c r="K112" s="24">
        <f t="shared" ref="K112:L113" si="47">K113</f>
        <v>0</v>
      </c>
      <c r="L112" s="24">
        <f t="shared" si="47"/>
        <v>0</v>
      </c>
      <c r="M112" s="24">
        <f>M113</f>
        <v>850000000</v>
      </c>
      <c r="N112" s="14">
        <f>N113</f>
        <v>0</v>
      </c>
      <c r="O112" s="24">
        <f t="shared" ref="O112:T113" si="48">O113</f>
        <v>0</v>
      </c>
      <c r="P112" s="24">
        <f>+M112-O112-N112</f>
        <v>850000000</v>
      </c>
      <c r="Q112" s="24">
        <f t="shared" si="48"/>
        <v>0</v>
      </c>
      <c r="R112" s="26">
        <f t="shared" si="45"/>
        <v>0</v>
      </c>
      <c r="S112" s="24">
        <f t="shared" si="48"/>
        <v>0</v>
      </c>
      <c r="T112" s="33">
        <f t="shared" si="48"/>
        <v>0</v>
      </c>
    </row>
    <row r="113" spans="1:21" s="6" customFormat="1" ht="16.5" customHeight="1" x14ac:dyDescent="0.25">
      <c r="A113" s="90" t="s">
        <v>3</v>
      </c>
      <c r="B113" s="11" t="s">
        <v>72</v>
      </c>
      <c r="C113" s="11" t="s">
        <v>70</v>
      </c>
      <c r="D113" s="71" t="s">
        <v>34</v>
      </c>
      <c r="E113" s="11"/>
      <c r="F113" s="11"/>
      <c r="G113" s="12" t="s">
        <v>84</v>
      </c>
      <c r="H113" s="11" t="s">
        <v>5</v>
      </c>
      <c r="I113" s="11">
        <v>11</v>
      </c>
      <c r="J113" s="24">
        <f>J114</f>
        <v>850000000</v>
      </c>
      <c r="K113" s="24">
        <f t="shared" si="47"/>
        <v>0</v>
      </c>
      <c r="L113" s="24">
        <f t="shared" si="47"/>
        <v>0</v>
      </c>
      <c r="M113" s="24">
        <f>M114</f>
        <v>850000000</v>
      </c>
      <c r="N113" s="14">
        <f>N114</f>
        <v>0</v>
      </c>
      <c r="O113" s="24">
        <f t="shared" si="48"/>
        <v>0</v>
      </c>
      <c r="P113" s="24">
        <f>+M113-O113-N113</f>
        <v>850000000</v>
      </c>
      <c r="Q113" s="24">
        <f t="shared" si="48"/>
        <v>0</v>
      </c>
      <c r="R113" s="26">
        <f t="shared" si="45"/>
        <v>0</v>
      </c>
      <c r="S113" s="24">
        <f t="shared" si="48"/>
        <v>0</v>
      </c>
      <c r="T113" s="33">
        <f t="shared" si="48"/>
        <v>0</v>
      </c>
    </row>
    <row r="114" spans="1:21" ht="18" customHeight="1" x14ac:dyDescent="0.25">
      <c r="A114" s="91" t="s">
        <v>3</v>
      </c>
      <c r="B114" s="7" t="s">
        <v>72</v>
      </c>
      <c r="C114" s="7" t="s">
        <v>70</v>
      </c>
      <c r="D114" s="7" t="s">
        <v>34</v>
      </c>
      <c r="E114" s="7"/>
      <c r="F114" s="7"/>
      <c r="G114" s="23" t="s">
        <v>84</v>
      </c>
      <c r="H114" s="7" t="s">
        <v>5</v>
      </c>
      <c r="I114" s="7">
        <v>11</v>
      </c>
      <c r="J114" s="27">
        <v>850000000</v>
      </c>
      <c r="K114" s="27">
        <v>0</v>
      </c>
      <c r="L114" s="27">
        <v>0</v>
      </c>
      <c r="M114" s="27">
        <f>J114+K114-L114</f>
        <v>850000000</v>
      </c>
      <c r="N114" s="9">
        <v>0</v>
      </c>
      <c r="O114" s="27">
        <v>0</v>
      </c>
      <c r="P114" s="24">
        <f>+M114-O114-N114</f>
        <v>850000000</v>
      </c>
      <c r="Q114" s="27">
        <v>0</v>
      </c>
      <c r="R114" s="26">
        <f t="shared" si="45"/>
        <v>0</v>
      </c>
      <c r="S114" s="27">
        <v>0</v>
      </c>
      <c r="T114" s="51">
        <v>0</v>
      </c>
    </row>
    <row r="115" spans="1:21" ht="21.75" customHeight="1" x14ac:dyDescent="0.25">
      <c r="A115" s="92" t="s">
        <v>3</v>
      </c>
      <c r="B115" s="81" t="s">
        <v>72</v>
      </c>
      <c r="C115" s="81"/>
      <c r="D115" s="81"/>
      <c r="E115" s="81"/>
      <c r="F115" s="81"/>
      <c r="G115" s="82" t="s">
        <v>105</v>
      </c>
      <c r="H115" s="81" t="s">
        <v>5</v>
      </c>
      <c r="I115" s="83" t="s">
        <v>6</v>
      </c>
      <c r="J115" s="64">
        <f>J107</f>
        <v>469200000</v>
      </c>
      <c r="K115" s="64">
        <f t="shared" ref="K115:L115" si="49">K107</f>
        <v>0</v>
      </c>
      <c r="L115" s="64">
        <f t="shared" si="49"/>
        <v>0</v>
      </c>
      <c r="M115" s="64">
        <f>M107</f>
        <v>469200000</v>
      </c>
      <c r="N115" s="64">
        <f>N109</f>
        <v>41941000</v>
      </c>
      <c r="O115" s="64">
        <f>O109</f>
        <v>427258701</v>
      </c>
      <c r="P115" s="64">
        <f>P109</f>
        <v>299</v>
      </c>
      <c r="Q115" s="64">
        <f>Q109</f>
        <v>427258701</v>
      </c>
      <c r="R115" s="76">
        <f t="shared" si="45"/>
        <v>0.99999930019028271</v>
      </c>
      <c r="S115" s="64">
        <f>S109</f>
        <v>427258701</v>
      </c>
      <c r="T115" s="73">
        <f>T109</f>
        <v>427258701</v>
      </c>
    </row>
    <row r="116" spans="1:21" ht="21.75" customHeight="1" x14ac:dyDescent="0.25">
      <c r="A116" s="92" t="s">
        <v>3</v>
      </c>
      <c r="B116" s="81" t="s">
        <v>72</v>
      </c>
      <c r="C116" s="81"/>
      <c r="D116" s="81"/>
      <c r="E116" s="81"/>
      <c r="F116" s="81"/>
      <c r="G116" s="82" t="s">
        <v>105</v>
      </c>
      <c r="H116" s="81" t="s">
        <v>5</v>
      </c>
      <c r="I116" s="83">
        <v>11</v>
      </c>
      <c r="J116" s="64">
        <f>J108</f>
        <v>850000000</v>
      </c>
      <c r="K116" s="64">
        <f t="shared" ref="K116:L116" si="50">K108</f>
        <v>0</v>
      </c>
      <c r="L116" s="64">
        <f t="shared" si="50"/>
        <v>0</v>
      </c>
      <c r="M116" s="64">
        <f>M108</f>
        <v>850000000</v>
      </c>
      <c r="N116" s="64">
        <f>N113</f>
        <v>0</v>
      </c>
      <c r="O116" s="64">
        <f>O108</f>
        <v>0</v>
      </c>
      <c r="P116" s="64">
        <f>P108</f>
        <v>850000000</v>
      </c>
      <c r="Q116" s="64">
        <f>Q108</f>
        <v>0</v>
      </c>
      <c r="R116" s="76">
        <f t="shared" si="45"/>
        <v>0</v>
      </c>
      <c r="S116" s="64">
        <f>S108</f>
        <v>0</v>
      </c>
      <c r="T116" s="73">
        <f>T108</f>
        <v>0</v>
      </c>
    </row>
    <row r="117" spans="1:21" ht="16.5" customHeight="1" x14ac:dyDescent="0.25">
      <c r="A117" s="120" t="s">
        <v>110</v>
      </c>
      <c r="B117" s="121"/>
      <c r="C117" s="121"/>
      <c r="D117" s="121"/>
      <c r="E117" s="121"/>
      <c r="F117" s="121"/>
      <c r="G117" s="121"/>
      <c r="H117" s="121"/>
      <c r="I117" s="122"/>
      <c r="J117" s="77">
        <f>J115+J116</f>
        <v>1319200000</v>
      </c>
      <c r="K117" s="77">
        <f t="shared" ref="K117:L117" si="51">K115+K116</f>
        <v>0</v>
      </c>
      <c r="L117" s="77">
        <f t="shared" si="51"/>
        <v>0</v>
      </c>
      <c r="M117" s="77">
        <f>M115+M116</f>
        <v>1319200000</v>
      </c>
      <c r="N117" s="77">
        <f>N115+N116</f>
        <v>41941000</v>
      </c>
      <c r="O117" s="77">
        <f>O115+O116</f>
        <v>427258701</v>
      </c>
      <c r="P117" s="77">
        <f>P115+P116</f>
        <v>850000299</v>
      </c>
      <c r="Q117" s="77">
        <f>Q115+Q116</f>
        <v>427258701</v>
      </c>
      <c r="R117" s="76">
        <f t="shared" si="45"/>
        <v>0.33451218664342941</v>
      </c>
      <c r="S117" s="77">
        <f>S115+S116</f>
        <v>427258701</v>
      </c>
      <c r="T117" s="78">
        <f>T115+T116</f>
        <v>427258701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5</v>
      </c>
      <c r="I118" s="86">
        <v>10</v>
      </c>
      <c r="J118" s="72">
        <f t="shared" ref="J118:Q118" si="52">+J115+J88+J33+J104</f>
        <v>332071100000</v>
      </c>
      <c r="K118" s="72">
        <f t="shared" si="52"/>
        <v>9147540877.6700001</v>
      </c>
      <c r="L118" s="72">
        <f t="shared" si="52"/>
        <v>9147540877.6700001</v>
      </c>
      <c r="M118" s="72">
        <f t="shared" si="52"/>
        <v>332071100000</v>
      </c>
      <c r="N118" s="72">
        <f t="shared" si="52"/>
        <v>16114941000</v>
      </c>
      <c r="O118" s="72">
        <f t="shared" si="52"/>
        <v>194265585260.91998</v>
      </c>
      <c r="P118" s="72">
        <f t="shared" si="52"/>
        <v>121690573739.08</v>
      </c>
      <c r="Q118" s="72">
        <f t="shared" si="52"/>
        <v>187541725263.76001</v>
      </c>
      <c r="R118" s="74">
        <f>IF(Q118&gt;1,Q118/(M118-N118),0)</f>
        <v>0.59356882251426535</v>
      </c>
      <c r="S118" s="72">
        <f>+S115+S88+S33+S104</f>
        <v>170863879268.70999</v>
      </c>
      <c r="T118" s="75">
        <f>+T115+T88+T33+T104</f>
        <v>170854629861.70999</v>
      </c>
    </row>
    <row r="119" spans="1:21" ht="16.5" customHeight="1" x14ac:dyDescent="0.25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5</v>
      </c>
      <c r="I119" s="86">
        <v>11</v>
      </c>
      <c r="J119" s="72">
        <f>J116</f>
        <v>850000000</v>
      </c>
      <c r="K119" s="72">
        <f t="shared" ref="K119:L119" si="53">K116</f>
        <v>0</v>
      </c>
      <c r="L119" s="72">
        <f t="shared" si="53"/>
        <v>0</v>
      </c>
      <c r="M119" s="72">
        <f>M116</f>
        <v>850000000</v>
      </c>
      <c r="N119" s="72">
        <f>N116</f>
        <v>0</v>
      </c>
      <c r="O119" s="72">
        <f>O116</f>
        <v>0</v>
      </c>
      <c r="P119" s="72">
        <f>P116</f>
        <v>850000000</v>
      </c>
      <c r="Q119" s="72">
        <f>Q116</f>
        <v>0</v>
      </c>
      <c r="R119" s="74">
        <f t="shared" si="45"/>
        <v>0</v>
      </c>
      <c r="S119" s="72">
        <f>S116</f>
        <v>0</v>
      </c>
      <c r="T119" s="75">
        <f>T116</f>
        <v>0</v>
      </c>
    </row>
    <row r="120" spans="1:21" ht="16.5" customHeight="1" x14ac:dyDescent="0.25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8</v>
      </c>
      <c r="I120" s="86">
        <v>20</v>
      </c>
      <c r="J120" s="72">
        <f t="shared" ref="J120:L120" si="54">J89</f>
        <v>786000000</v>
      </c>
      <c r="K120" s="72">
        <f t="shared" si="54"/>
        <v>0</v>
      </c>
      <c r="L120" s="72">
        <f t="shared" si="54"/>
        <v>0</v>
      </c>
      <c r="M120" s="72">
        <f t="shared" ref="M120:Q121" si="55">M89</f>
        <v>786000000</v>
      </c>
      <c r="N120" s="72">
        <f t="shared" si="55"/>
        <v>0</v>
      </c>
      <c r="O120" s="72">
        <f t="shared" si="55"/>
        <v>217916197</v>
      </c>
      <c r="P120" s="72">
        <f t="shared" si="55"/>
        <v>568083803</v>
      </c>
      <c r="Q120" s="72">
        <f t="shared" si="55"/>
        <v>217916197</v>
      </c>
      <c r="R120" s="74">
        <f t="shared" si="45"/>
        <v>0.27724706997455473</v>
      </c>
      <c r="S120" s="72">
        <f>S89</f>
        <v>216864907</v>
      </c>
      <c r="T120" s="75">
        <f>T89</f>
        <v>216864907</v>
      </c>
    </row>
    <row r="121" spans="1:21" s="5" customFormat="1" ht="15" customHeight="1" x14ac:dyDescent="0.2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8</v>
      </c>
      <c r="I121" s="86">
        <v>21</v>
      </c>
      <c r="J121" s="72">
        <f t="shared" ref="J121:L121" si="56">J90</f>
        <v>391600000</v>
      </c>
      <c r="K121" s="72">
        <f t="shared" si="56"/>
        <v>0</v>
      </c>
      <c r="L121" s="72">
        <f t="shared" si="56"/>
        <v>0</v>
      </c>
      <c r="M121" s="72">
        <f t="shared" si="55"/>
        <v>391600000</v>
      </c>
      <c r="N121" s="72">
        <f t="shared" si="55"/>
        <v>0</v>
      </c>
      <c r="O121" s="72">
        <f t="shared" si="55"/>
        <v>391600000</v>
      </c>
      <c r="P121" s="72">
        <f t="shared" si="55"/>
        <v>0</v>
      </c>
      <c r="Q121" s="72">
        <f t="shared" si="55"/>
        <v>391600000</v>
      </c>
      <c r="R121" s="74">
        <f t="shared" si="45"/>
        <v>1</v>
      </c>
      <c r="S121" s="72">
        <f>S90</f>
        <v>391600000</v>
      </c>
      <c r="T121" s="75">
        <f>T90</f>
        <v>391600000</v>
      </c>
      <c r="U121" s="46"/>
    </row>
    <row r="122" spans="1:21" ht="15.75" customHeight="1" thickBot="1" x14ac:dyDescent="0.3">
      <c r="A122" s="123" t="s">
        <v>28</v>
      </c>
      <c r="B122" s="124"/>
      <c r="C122" s="124"/>
      <c r="D122" s="124"/>
      <c r="E122" s="124"/>
      <c r="F122" s="124"/>
      <c r="G122" s="124"/>
      <c r="H122" s="124"/>
      <c r="I122" s="125"/>
      <c r="J122" s="41">
        <f>SUM(J118:J121)</f>
        <v>334098700000</v>
      </c>
      <c r="K122" s="41">
        <f t="shared" ref="K122:L122" si="57">SUM(K118:K121)</f>
        <v>9147540877.6700001</v>
      </c>
      <c r="L122" s="41">
        <f t="shared" si="57"/>
        <v>9147540877.6700001</v>
      </c>
      <c r="M122" s="41">
        <f>SUM(M118:M121)</f>
        <v>334098700000</v>
      </c>
      <c r="N122" s="41">
        <f>SUM(N118:N121)</f>
        <v>16114941000</v>
      </c>
      <c r="O122" s="41">
        <f>SUM(O118:O121)</f>
        <v>194875101457.91998</v>
      </c>
      <c r="P122" s="41">
        <f>SUM(P118:P121)</f>
        <v>123108657542.08</v>
      </c>
      <c r="Q122" s="41">
        <f>SUM(Q118:Q121)</f>
        <v>188151241460.76001</v>
      </c>
      <c r="R122" s="43">
        <f>IF(Q122&gt;1,Q122/(M122-N122),0)</f>
        <v>0.59170079016758848</v>
      </c>
      <c r="S122" s="41">
        <f>SUM(S118:S121)</f>
        <v>171472344175.70999</v>
      </c>
      <c r="T122" s="52">
        <f>SUM(T118:T121)</f>
        <v>171463094768.70999</v>
      </c>
    </row>
    <row r="123" spans="1:21" s="6" customFormat="1" ht="18.75" customHeight="1" thickBot="1" x14ac:dyDescent="0.3">
      <c r="A123" s="114" t="s">
        <v>31</v>
      </c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6"/>
    </row>
    <row r="124" spans="1:21" s="6" customFormat="1" ht="24.75" customHeight="1" x14ac:dyDescent="0.25">
      <c r="A124" s="90" t="s">
        <v>18</v>
      </c>
      <c r="B124" s="11">
        <v>2901</v>
      </c>
      <c r="C124" s="11"/>
      <c r="D124" s="11"/>
      <c r="E124" s="11"/>
      <c r="F124" s="11"/>
      <c r="G124" s="12" t="s">
        <v>103</v>
      </c>
      <c r="H124" s="11" t="s">
        <v>5</v>
      </c>
      <c r="I124" s="13">
        <v>10</v>
      </c>
      <c r="J124" s="24">
        <f>J128+J130+J132+J136+J142+J152+J156</f>
        <v>45330000000</v>
      </c>
      <c r="K124" s="24">
        <f t="shared" ref="K124:Q124" si="58">K129+K131+K133+K134+K135+K139+K143++K144+K145+K153+K154+K155+K157+K158+K159+K160</f>
        <v>762962130</v>
      </c>
      <c r="L124" s="24">
        <f t="shared" si="58"/>
        <v>762962130</v>
      </c>
      <c r="M124" s="24">
        <f t="shared" si="58"/>
        <v>45330000000</v>
      </c>
      <c r="N124" s="14">
        <f t="shared" si="58"/>
        <v>6481782737</v>
      </c>
      <c r="O124" s="88">
        <f t="shared" si="58"/>
        <v>35924421262.580002</v>
      </c>
      <c r="P124" s="24">
        <f t="shared" si="58"/>
        <v>2923796000.4200001</v>
      </c>
      <c r="Q124" s="14">
        <f t="shared" si="58"/>
        <v>24506551063.849998</v>
      </c>
      <c r="R124" s="26">
        <f>IF(Q124&gt;1,Q124/(M124-N124),0)</f>
        <v>0.63082820243570459</v>
      </c>
      <c r="S124" s="14">
        <f>S129+S131+S133+S134+S135+S139+S143++S144+S145+S153+S154+S155+S157+S158+S159+S160</f>
        <v>916338503.5</v>
      </c>
      <c r="T124" s="22">
        <f>T129+T131+T133+T134+T135+T139+T143++T144+T145+T153+T154+T155+T157+T158+T159+T160</f>
        <v>916338503.5</v>
      </c>
    </row>
    <row r="125" spans="1:21" s="6" customFormat="1" ht="24.75" customHeight="1" x14ac:dyDescent="0.25">
      <c r="A125" s="90" t="s">
        <v>18</v>
      </c>
      <c r="B125" s="11">
        <v>2901</v>
      </c>
      <c r="C125" s="11"/>
      <c r="D125" s="11"/>
      <c r="E125" s="11"/>
      <c r="F125" s="11"/>
      <c r="G125" s="12" t="s">
        <v>103</v>
      </c>
      <c r="H125" s="11" t="s">
        <v>8</v>
      </c>
      <c r="I125" s="11">
        <v>11</v>
      </c>
      <c r="J125" s="24">
        <f>J146</f>
        <v>9015000000</v>
      </c>
      <c r="K125" s="24">
        <f t="shared" ref="K125:Q125" si="59">K146</f>
        <v>0</v>
      </c>
      <c r="L125" s="24">
        <f t="shared" si="59"/>
        <v>0</v>
      </c>
      <c r="M125" s="24">
        <f t="shared" si="59"/>
        <v>9015000000</v>
      </c>
      <c r="N125" s="14">
        <f t="shared" si="59"/>
        <v>0</v>
      </c>
      <c r="O125" s="88">
        <f t="shared" si="59"/>
        <v>8994646622.6800003</v>
      </c>
      <c r="P125" s="24">
        <f t="shared" si="59"/>
        <v>20353377.320000172</v>
      </c>
      <c r="Q125" s="14">
        <f t="shared" si="59"/>
        <v>3840588777.6800003</v>
      </c>
      <c r="R125" s="26">
        <f t="shared" ref="R125:R187" si="60">IF(Q125&gt;1,Q125/(M125-N125),0)</f>
        <v>0.4260220496594565</v>
      </c>
      <c r="S125" s="14">
        <f t="shared" ref="S125:T125" si="61">S146</f>
        <v>0</v>
      </c>
      <c r="T125" s="22">
        <f t="shared" si="61"/>
        <v>0</v>
      </c>
    </row>
    <row r="126" spans="1:21" s="6" customFormat="1" ht="24.75" customHeight="1" x14ac:dyDescent="0.25">
      <c r="A126" s="90" t="s">
        <v>18</v>
      </c>
      <c r="B126" s="11">
        <v>2901</v>
      </c>
      <c r="C126" s="11"/>
      <c r="D126" s="11"/>
      <c r="E126" s="11"/>
      <c r="F126" s="11"/>
      <c r="G126" s="12" t="s">
        <v>103</v>
      </c>
      <c r="H126" s="11" t="s">
        <v>8</v>
      </c>
      <c r="I126" s="13">
        <v>20</v>
      </c>
      <c r="J126" s="14">
        <f>J137</f>
        <v>4000000000</v>
      </c>
      <c r="K126" s="14">
        <f t="shared" ref="K126:Q126" si="62">K137</f>
        <v>0</v>
      </c>
      <c r="L126" s="24">
        <f t="shared" si="62"/>
        <v>0</v>
      </c>
      <c r="M126" s="24">
        <f t="shared" si="62"/>
        <v>4000000000</v>
      </c>
      <c r="N126" s="14">
        <f t="shared" si="62"/>
        <v>0</v>
      </c>
      <c r="O126" s="14">
        <f t="shared" si="62"/>
        <v>0</v>
      </c>
      <c r="P126" s="24">
        <f t="shared" si="62"/>
        <v>4000000000</v>
      </c>
      <c r="Q126" s="14">
        <f t="shared" si="62"/>
        <v>0</v>
      </c>
      <c r="R126" s="26">
        <f t="shared" si="60"/>
        <v>0</v>
      </c>
      <c r="S126" s="24">
        <f t="shared" ref="S126:T126" si="63">S137</f>
        <v>0</v>
      </c>
      <c r="T126" s="22">
        <f t="shared" si="63"/>
        <v>0</v>
      </c>
    </row>
    <row r="127" spans="1:21" ht="33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103</v>
      </c>
      <c r="H127" s="11" t="s">
        <v>8</v>
      </c>
      <c r="I127" s="13">
        <v>21</v>
      </c>
      <c r="J127" s="14">
        <f>J138+J147</f>
        <v>2908160000</v>
      </c>
      <c r="K127" s="14">
        <f t="shared" ref="K127:Q127" si="64">K141+K150+K151</f>
        <v>0</v>
      </c>
      <c r="L127" s="24">
        <f t="shared" si="64"/>
        <v>0</v>
      </c>
      <c r="M127" s="24">
        <f t="shared" si="64"/>
        <v>2908160000</v>
      </c>
      <c r="N127" s="14">
        <f t="shared" si="64"/>
        <v>0</v>
      </c>
      <c r="O127" s="14">
        <f t="shared" si="64"/>
        <v>2824473284.0999999</v>
      </c>
      <c r="P127" s="24">
        <f t="shared" si="64"/>
        <v>83686715.900000095</v>
      </c>
      <c r="Q127" s="14">
        <f t="shared" si="64"/>
        <v>2755725989.0999999</v>
      </c>
      <c r="R127" s="26">
        <f t="shared" si="60"/>
        <v>0.9475840356445312</v>
      </c>
      <c r="S127" s="14">
        <f>S141+S150+S151</f>
        <v>368366896.10000002</v>
      </c>
      <c r="T127" s="22">
        <f>T141+T150+T151</f>
        <v>368366896.10000002</v>
      </c>
    </row>
    <row r="128" spans="1:21" ht="33" customHeight="1" x14ac:dyDescent="0.25">
      <c r="A128" s="95" t="s">
        <v>18</v>
      </c>
      <c r="B128" s="99" t="s">
        <v>90</v>
      </c>
      <c r="C128" s="99" t="s">
        <v>91</v>
      </c>
      <c r="D128" s="99" t="s">
        <v>92</v>
      </c>
      <c r="E128" s="11"/>
      <c r="F128" s="11"/>
      <c r="G128" s="12" t="s">
        <v>219</v>
      </c>
      <c r="H128" s="99" t="s">
        <v>5</v>
      </c>
      <c r="I128" s="100">
        <v>10</v>
      </c>
      <c r="J128" s="14">
        <f>J129</f>
        <v>10500000000</v>
      </c>
      <c r="K128" s="14">
        <f t="shared" ref="K128:N128" si="65">K129</f>
        <v>0</v>
      </c>
      <c r="L128" s="24">
        <f t="shared" si="65"/>
        <v>0</v>
      </c>
      <c r="M128" s="24">
        <f t="shared" si="65"/>
        <v>10500000000</v>
      </c>
      <c r="N128" s="14">
        <f t="shared" si="65"/>
        <v>0</v>
      </c>
      <c r="O128" s="14">
        <f>O129</f>
        <v>10013370376</v>
      </c>
      <c r="P128" s="24">
        <f>P129</f>
        <v>486629624</v>
      </c>
      <c r="Q128" s="14">
        <f>Q129</f>
        <v>7165956258.2700005</v>
      </c>
      <c r="R128" s="26">
        <f t="shared" si="60"/>
        <v>0.68247202459714285</v>
      </c>
      <c r="S128" s="14">
        <f>S129</f>
        <v>75975651.5</v>
      </c>
      <c r="T128" s="22">
        <f>T129</f>
        <v>75975651.5</v>
      </c>
    </row>
    <row r="129" spans="1:20" ht="50.25" customHeight="1" x14ac:dyDescent="0.25">
      <c r="A129" s="94" t="s">
        <v>18</v>
      </c>
      <c r="B129" s="56" t="s">
        <v>90</v>
      </c>
      <c r="C129" s="56" t="s">
        <v>91</v>
      </c>
      <c r="D129" s="56" t="s">
        <v>92</v>
      </c>
      <c r="E129" s="56" t="s">
        <v>153</v>
      </c>
      <c r="F129" s="56" t="s">
        <v>165</v>
      </c>
      <c r="G129" s="23" t="s">
        <v>186</v>
      </c>
      <c r="H129" s="56" t="s">
        <v>5</v>
      </c>
      <c r="I129" s="57">
        <v>10</v>
      </c>
      <c r="J129" s="44">
        <v>10500000000</v>
      </c>
      <c r="K129" s="44">
        <v>0</v>
      </c>
      <c r="L129" s="44">
        <v>0</v>
      </c>
      <c r="M129" s="44">
        <f>J129+K129-L129</f>
        <v>10500000000</v>
      </c>
      <c r="N129" s="44">
        <v>0</v>
      </c>
      <c r="O129" s="44">
        <v>10013370376</v>
      </c>
      <c r="P129" s="44">
        <f t="shared" ref="P129:P157" si="66">+M129-O129-N129</f>
        <v>486629624</v>
      </c>
      <c r="Q129" s="58">
        <v>7165956258.2700005</v>
      </c>
      <c r="R129" s="25">
        <f t="shared" si="60"/>
        <v>0.68247202459714285</v>
      </c>
      <c r="S129" s="58">
        <v>75975651.5</v>
      </c>
      <c r="T129" s="59">
        <v>75975651.5</v>
      </c>
    </row>
    <row r="130" spans="1:20" ht="50.25" customHeight="1" x14ac:dyDescent="0.25">
      <c r="A130" s="95" t="s">
        <v>18</v>
      </c>
      <c r="B130" s="99" t="s">
        <v>90</v>
      </c>
      <c r="C130" s="99" t="s">
        <v>91</v>
      </c>
      <c r="D130" s="99" t="s">
        <v>6</v>
      </c>
      <c r="E130" s="99"/>
      <c r="F130" s="99"/>
      <c r="G130" s="12" t="s">
        <v>220</v>
      </c>
      <c r="H130" s="99" t="s">
        <v>5</v>
      </c>
      <c r="I130" s="100">
        <v>10</v>
      </c>
      <c r="J130" s="48">
        <f>J131</f>
        <v>100000000</v>
      </c>
      <c r="K130" s="48">
        <f t="shared" ref="K130:M130" si="67">K131</f>
        <v>0</v>
      </c>
      <c r="L130" s="48">
        <f t="shared" si="67"/>
        <v>0</v>
      </c>
      <c r="M130" s="48">
        <f t="shared" si="67"/>
        <v>100000000</v>
      </c>
      <c r="N130" s="48">
        <f t="shared" ref="N130:T130" si="68">N131</f>
        <v>30479907</v>
      </c>
      <c r="O130" s="48">
        <f t="shared" si="68"/>
        <v>69347099</v>
      </c>
      <c r="P130" s="48">
        <f t="shared" si="68"/>
        <v>172994</v>
      </c>
      <c r="Q130" s="101">
        <f t="shared" si="68"/>
        <v>69347099</v>
      </c>
      <c r="R130" s="26">
        <f t="shared" si="60"/>
        <v>0.99751159711480819</v>
      </c>
      <c r="S130" s="101">
        <f t="shared" si="68"/>
        <v>0</v>
      </c>
      <c r="T130" s="102">
        <f t="shared" si="68"/>
        <v>0</v>
      </c>
    </row>
    <row r="131" spans="1:20" ht="46.5" customHeight="1" x14ac:dyDescent="0.25">
      <c r="A131" s="94" t="s">
        <v>18</v>
      </c>
      <c r="B131" s="56" t="s">
        <v>90</v>
      </c>
      <c r="C131" s="56" t="s">
        <v>91</v>
      </c>
      <c r="D131" s="56" t="s">
        <v>6</v>
      </c>
      <c r="E131" s="56" t="s">
        <v>153</v>
      </c>
      <c r="F131" s="56" t="s">
        <v>166</v>
      </c>
      <c r="G131" s="23" t="s">
        <v>187</v>
      </c>
      <c r="H131" s="56" t="s">
        <v>5</v>
      </c>
      <c r="I131" s="57">
        <v>10</v>
      </c>
      <c r="J131" s="58">
        <v>100000000</v>
      </c>
      <c r="K131" s="58">
        <v>0</v>
      </c>
      <c r="L131" s="44">
        <v>0</v>
      </c>
      <c r="M131" s="44">
        <f t="shared" ref="M131:M160" si="69">J131+K131-L131</f>
        <v>100000000</v>
      </c>
      <c r="N131" s="44">
        <v>30479907</v>
      </c>
      <c r="O131" s="44">
        <v>69347099</v>
      </c>
      <c r="P131" s="44">
        <f t="shared" si="66"/>
        <v>172994</v>
      </c>
      <c r="Q131" s="58">
        <v>69347099</v>
      </c>
      <c r="R131" s="25">
        <f t="shared" si="60"/>
        <v>0.99751159711480819</v>
      </c>
      <c r="S131" s="58">
        <v>0</v>
      </c>
      <c r="T131" s="59">
        <v>0</v>
      </c>
    </row>
    <row r="132" spans="1:20" s="103" customFormat="1" ht="51.75" customHeight="1" x14ac:dyDescent="0.25">
      <c r="A132" s="95" t="s">
        <v>18</v>
      </c>
      <c r="B132" s="99" t="s">
        <v>90</v>
      </c>
      <c r="C132" s="99" t="s">
        <v>91</v>
      </c>
      <c r="D132" s="99" t="s">
        <v>7</v>
      </c>
      <c r="E132" s="99"/>
      <c r="F132" s="99"/>
      <c r="G132" s="12" t="s">
        <v>240</v>
      </c>
      <c r="H132" s="99" t="s">
        <v>5</v>
      </c>
      <c r="I132" s="100">
        <v>10</v>
      </c>
      <c r="J132" s="101">
        <f>J133+J134+J135</f>
        <v>4570000000</v>
      </c>
      <c r="K132" s="101">
        <f t="shared" ref="K132:T132" si="70">K133+K134+K135</f>
        <v>32529000</v>
      </c>
      <c r="L132" s="48">
        <f t="shared" si="70"/>
        <v>32529000</v>
      </c>
      <c r="M132" s="48">
        <f t="shared" si="70"/>
        <v>4570000000</v>
      </c>
      <c r="N132" s="48">
        <f t="shared" si="70"/>
        <v>0</v>
      </c>
      <c r="O132" s="48">
        <f t="shared" si="70"/>
        <v>4497159949.6199999</v>
      </c>
      <c r="P132" s="48">
        <f t="shared" si="70"/>
        <v>72840050.380000114</v>
      </c>
      <c r="Q132" s="101">
        <f t="shared" si="70"/>
        <v>2461469889.6199999</v>
      </c>
      <c r="R132" s="26">
        <f t="shared" si="60"/>
        <v>0.53861485549671773</v>
      </c>
      <c r="S132" s="101">
        <f t="shared" si="70"/>
        <v>749508272</v>
      </c>
      <c r="T132" s="102">
        <f t="shared" si="70"/>
        <v>749508272</v>
      </c>
    </row>
    <row r="133" spans="1:20" ht="65.25" customHeight="1" x14ac:dyDescent="0.25">
      <c r="A133" s="94" t="s">
        <v>18</v>
      </c>
      <c r="B133" s="56" t="s">
        <v>90</v>
      </c>
      <c r="C133" s="56" t="s">
        <v>91</v>
      </c>
      <c r="D133" s="56" t="s">
        <v>7</v>
      </c>
      <c r="E133" s="56" t="s">
        <v>154</v>
      </c>
      <c r="F133" s="56" t="s">
        <v>167</v>
      </c>
      <c r="G133" s="23" t="s">
        <v>188</v>
      </c>
      <c r="H133" s="56" t="s">
        <v>5</v>
      </c>
      <c r="I133" s="57">
        <v>10</v>
      </c>
      <c r="J133" s="44">
        <v>1370000000</v>
      </c>
      <c r="K133" s="44">
        <v>0</v>
      </c>
      <c r="L133" s="44">
        <v>32529000</v>
      </c>
      <c r="M133" s="44">
        <f t="shared" si="69"/>
        <v>1337471000</v>
      </c>
      <c r="N133" s="44">
        <v>0</v>
      </c>
      <c r="O133" s="44">
        <v>1296109599.6199999</v>
      </c>
      <c r="P133" s="44">
        <f t="shared" si="66"/>
        <v>41361400.380000114</v>
      </c>
      <c r="Q133" s="58">
        <v>681673969.62</v>
      </c>
      <c r="R133" s="25">
        <f t="shared" si="60"/>
        <v>0.50967383189616822</v>
      </c>
      <c r="S133" s="58">
        <v>89869930</v>
      </c>
      <c r="T133" s="59">
        <v>89869930</v>
      </c>
    </row>
    <row r="134" spans="1:20" ht="76.5" customHeight="1" x14ac:dyDescent="0.25">
      <c r="A134" s="94" t="s">
        <v>18</v>
      </c>
      <c r="B134" s="56" t="s">
        <v>90</v>
      </c>
      <c r="C134" s="56" t="s">
        <v>91</v>
      </c>
      <c r="D134" s="56" t="s">
        <v>7</v>
      </c>
      <c r="E134" s="56" t="s">
        <v>154</v>
      </c>
      <c r="F134" s="56" t="s">
        <v>168</v>
      </c>
      <c r="G134" s="23" t="s">
        <v>189</v>
      </c>
      <c r="H134" s="56" t="s">
        <v>5</v>
      </c>
      <c r="I134" s="57">
        <v>10</v>
      </c>
      <c r="J134" s="44">
        <v>2050000000</v>
      </c>
      <c r="K134" s="44">
        <v>32529000</v>
      </c>
      <c r="L134" s="44">
        <v>0</v>
      </c>
      <c r="M134" s="44">
        <f t="shared" si="69"/>
        <v>2082529000</v>
      </c>
      <c r="N134" s="44">
        <v>0</v>
      </c>
      <c r="O134" s="44">
        <v>2064577180</v>
      </c>
      <c r="P134" s="44">
        <f t="shared" ref="P134:P135" si="71">+M134-O134-N134</f>
        <v>17951820</v>
      </c>
      <c r="Q134" s="58">
        <v>1779795920</v>
      </c>
      <c r="R134" s="25">
        <f t="shared" si="60"/>
        <v>0.85463199792175759</v>
      </c>
      <c r="S134" s="58">
        <v>659638342</v>
      </c>
      <c r="T134" s="59">
        <v>659638342</v>
      </c>
    </row>
    <row r="135" spans="1:20" ht="63.75" customHeight="1" x14ac:dyDescent="0.25">
      <c r="A135" s="94" t="s">
        <v>18</v>
      </c>
      <c r="B135" s="56" t="s">
        <v>90</v>
      </c>
      <c r="C135" s="56" t="s">
        <v>91</v>
      </c>
      <c r="D135" s="56" t="s">
        <v>7</v>
      </c>
      <c r="E135" s="56" t="s">
        <v>154</v>
      </c>
      <c r="F135" s="56" t="s">
        <v>169</v>
      </c>
      <c r="G135" s="23" t="s">
        <v>190</v>
      </c>
      <c r="H135" s="56" t="s">
        <v>5</v>
      </c>
      <c r="I135" s="57">
        <v>10</v>
      </c>
      <c r="J135" s="44">
        <v>1150000000</v>
      </c>
      <c r="K135" s="44">
        <v>0</v>
      </c>
      <c r="L135" s="44">
        <v>0</v>
      </c>
      <c r="M135" s="44">
        <f t="shared" si="69"/>
        <v>1150000000</v>
      </c>
      <c r="N135" s="44">
        <v>0</v>
      </c>
      <c r="O135" s="44">
        <v>1136473170</v>
      </c>
      <c r="P135" s="44">
        <f t="shared" si="71"/>
        <v>13526830</v>
      </c>
      <c r="Q135" s="58">
        <v>0</v>
      </c>
      <c r="R135" s="25">
        <f t="shared" si="60"/>
        <v>0</v>
      </c>
      <c r="S135" s="58">
        <v>0</v>
      </c>
      <c r="T135" s="59">
        <v>0</v>
      </c>
    </row>
    <row r="136" spans="1:20" ht="49.5" customHeight="1" x14ac:dyDescent="0.25">
      <c r="A136" s="95" t="s">
        <v>18</v>
      </c>
      <c r="B136" s="99" t="s">
        <v>90</v>
      </c>
      <c r="C136" s="99" t="s">
        <v>91</v>
      </c>
      <c r="D136" s="99" t="s">
        <v>93</v>
      </c>
      <c r="E136" s="99"/>
      <c r="F136" s="99"/>
      <c r="G136" s="12" t="s">
        <v>221</v>
      </c>
      <c r="H136" s="99" t="s">
        <v>5</v>
      </c>
      <c r="I136" s="100">
        <v>10</v>
      </c>
      <c r="J136" s="48">
        <f>J139</f>
        <v>4500000000</v>
      </c>
      <c r="K136" s="48">
        <f t="shared" ref="K136:T136" si="72">K139</f>
        <v>0</v>
      </c>
      <c r="L136" s="48">
        <f t="shared" si="72"/>
        <v>0</v>
      </c>
      <c r="M136" s="48">
        <f t="shared" si="72"/>
        <v>4500000000</v>
      </c>
      <c r="N136" s="48">
        <f t="shared" si="72"/>
        <v>0</v>
      </c>
      <c r="O136" s="48">
        <f t="shared" si="72"/>
        <v>4500000000</v>
      </c>
      <c r="P136" s="48">
        <f t="shared" si="72"/>
        <v>0</v>
      </c>
      <c r="Q136" s="101">
        <f t="shared" si="72"/>
        <v>4309588875</v>
      </c>
      <c r="R136" s="26">
        <f t="shared" si="60"/>
        <v>0.95768641666666665</v>
      </c>
      <c r="S136" s="101">
        <f t="shared" si="72"/>
        <v>0</v>
      </c>
      <c r="T136" s="102">
        <f t="shared" si="72"/>
        <v>0</v>
      </c>
    </row>
    <row r="137" spans="1:20" ht="49.5" customHeight="1" x14ac:dyDescent="0.25">
      <c r="A137" s="95" t="s">
        <v>18</v>
      </c>
      <c r="B137" s="99" t="s">
        <v>90</v>
      </c>
      <c r="C137" s="99" t="s">
        <v>91</v>
      </c>
      <c r="D137" s="99" t="s">
        <v>93</v>
      </c>
      <c r="E137" s="99"/>
      <c r="F137" s="99"/>
      <c r="G137" s="12" t="s">
        <v>221</v>
      </c>
      <c r="H137" s="99" t="s">
        <v>8</v>
      </c>
      <c r="I137" s="100">
        <v>20</v>
      </c>
      <c r="J137" s="48">
        <f>J140</f>
        <v>4000000000</v>
      </c>
      <c r="K137" s="48">
        <f t="shared" ref="K137:T137" si="73">K140</f>
        <v>0</v>
      </c>
      <c r="L137" s="48">
        <f t="shared" si="73"/>
        <v>0</v>
      </c>
      <c r="M137" s="48">
        <f t="shared" si="73"/>
        <v>4000000000</v>
      </c>
      <c r="N137" s="48">
        <f t="shared" si="73"/>
        <v>0</v>
      </c>
      <c r="O137" s="48">
        <f t="shared" si="73"/>
        <v>0</v>
      </c>
      <c r="P137" s="48">
        <f t="shared" si="73"/>
        <v>4000000000</v>
      </c>
      <c r="Q137" s="101">
        <f t="shared" si="73"/>
        <v>0</v>
      </c>
      <c r="R137" s="26">
        <f t="shared" si="60"/>
        <v>0</v>
      </c>
      <c r="S137" s="101">
        <f t="shared" si="73"/>
        <v>0</v>
      </c>
      <c r="T137" s="102">
        <f t="shared" si="73"/>
        <v>0</v>
      </c>
    </row>
    <row r="138" spans="1:20" ht="49.5" customHeight="1" x14ac:dyDescent="0.25">
      <c r="A138" s="95" t="s">
        <v>18</v>
      </c>
      <c r="B138" s="99" t="s">
        <v>90</v>
      </c>
      <c r="C138" s="99" t="s">
        <v>91</v>
      </c>
      <c r="D138" s="99" t="s">
        <v>93</v>
      </c>
      <c r="E138" s="99"/>
      <c r="F138" s="99"/>
      <c r="G138" s="12" t="s">
        <v>221</v>
      </c>
      <c r="H138" s="99" t="s">
        <v>8</v>
      </c>
      <c r="I138" s="100">
        <v>21</v>
      </c>
      <c r="J138" s="48">
        <f>J141</f>
        <v>24160000</v>
      </c>
      <c r="K138" s="48">
        <f t="shared" ref="K138:T138" si="74">K141</f>
        <v>0</v>
      </c>
      <c r="L138" s="48">
        <f t="shared" si="74"/>
        <v>0</v>
      </c>
      <c r="M138" s="48">
        <f t="shared" si="74"/>
        <v>24160000</v>
      </c>
      <c r="N138" s="48">
        <f t="shared" si="74"/>
        <v>0</v>
      </c>
      <c r="O138" s="48">
        <f t="shared" si="74"/>
        <v>24160000</v>
      </c>
      <c r="P138" s="48">
        <f t="shared" si="74"/>
        <v>0</v>
      </c>
      <c r="Q138" s="101">
        <f t="shared" si="74"/>
        <v>24160000</v>
      </c>
      <c r="R138" s="26">
        <f t="shared" si="60"/>
        <v>1</v>
      </c>
      <c r="S138" s="101">
        <f t="shared" si="74"/>
        <v>0</v>
      </c>
      <c r="T138" s="102">
        <f t="shared" si="74"/>
        <v>0</v>
      </c>
    </row>
    <row r="139" spans="1:20" ht="33.75" customHeight="1" x14ac:dyDescent="0.25">
      <c r="A139" s="94" t="s">
        <v>18</v>
      </c>
      <c r="B139" s="56" t="s">
        <v>90</v>
      </c>
      <c r="C139" s="56" t="s">
        <v>91</v>
      </c>
      <c r="D139" s="56" t="s">
        <v>93</v>
      </c>
      <c r="E139" s="56" t="s">
        <v>153</v>
      </c>
      <c r="F139" s="56" t="s">
        <v>163</v>
      </c>
      <c r="G139" s="23" t="s">
        <v>191</v>
      </c>
      <c r="H139" s="56" t="s">
        <v>5</v>
      </c>
      <c r="I139" s="57">
        <v>10</v>
      </c>
      <c r="J139" s="58">
        <v>4500000000</v>
      </c>
      <c r="K139" s="58">
        <v>0</v>
      </c>
      <c r="L139" s="44">
        <v>0</v>
      </c>
      <c r="M139" s="44">
        <f t="shared" si="69"/>
        <v>4500000000</v>
      </c>
      <c r="N139" s="44">
        <v>0</v>
      </c>
      <c r="O139" s="44">
        <v>4500000000</v>
      </c>
      <c r="P139" s="44">
        <f t="shared" si="66"/>
        <v>0</v>
      </c>
      <c r="Q139" s="58">
        <v>4309588875</v>
      </c>
      <c r="R139" s="25">
        <f t="shared" si="60"/>
        <v>0.95768641666666665</v>
      </c>
      <c r="S139" s="58">
        <v>0</v>
      </c>
      <c r="T139" s="59">
        <v>0</v>
      </c>
    </row>
    <row r="140" spans="1:20" ht="41.25" customHeight="1" x14ac:dyDescent="0.25">
      <c r="A140" s="94" t="s">
        <v>18</v>
      </c>
      <c r="B140" s="56" t="s">
        <v>90</v>
      </c>
      <c r="C140" s="56" t="s">
        <v>91</v>
      </c>
      <c r="D140" s="56" t="s">
        <v>93</v>
      </c>
      <c r="E140" s="56" t="s">
        <v>153</v>
      </c>
      <c r="F140" s="56" t="s">
        <v>164</v>
      </c>
      <c r="G140" s="23" t="s">
        <v>192</v>
      </c>
      <c r="H140" s="56" t="s">
        <v>8</v>
      </c>
      <c r="I140" s="57">
        <v>20</v>
      </c>
      <c r="J140" s="58">
        <v>4000000000</v>
      </c>
      <c r="K140" s="58">
        <v>0</v>
      </c>
      <c r="L140" s="44">
        <v>0</v>
      </c>
      <c r="M140" s="44">
        <f t="shared" si="69"/>
        <v>4000000000</v>
      </c>
      <c r="N140" s="44">
        <v>0</v>
      </c>
      <c r="O140" s="44">
        <v>0</v>
      </c>
      <c r="P140" s="44">
        <f t="shared" si="66"/>
        <v>4000000000</v>
      </c>
      <c r="Q140" s="58">
        <v>0</v>
      </c>
      <c r="R140" s="25">
        <f t="shared" si="60"/>
        <v>0</v>
      </c>
      <c r="S140" s="58">
        <v>0</v>
      </c>
      <c r="T140" s="59">
        <v>0</v>
      </c>
    </row>
    <row r="141" spans="1:20" ht="41.25" customHeight="1" x14ac:dyDescent="0.25">
      <c r="A141" s="94" t="s">
        <v>18</v>
      </c>
      <c r="B141" s="56" t="s">
        <v>90</v>
      </c>
      <c r="C141" s="56" t="s">
        <v>91</v>
      </c>
      <c r="D141" s="56" t="s">
        <v>93</v>
      </c>
      <c r="E141" s="56" t="s">
        <v>153</v>
      </c>
      <c r="F141" s="56" t="s">
        <v>164</v>
      </c>
      <c r="G141" s="23" t="s">
        <v>192</v>
      </c>
      <c r="H141" s="56" t="s">
        <v>8</v>
      </c>
      <c r="I141" s="57">
        <v>21</v>
      </c>
      <c r="J141" s="58">
        <v>24160000</v>
      </c>
      <c r="K141" s="58">
        <v>0</v>
      </c>
      <c r="L141" s="44">
        <v>0</v>
      </c>
      <c r="M141" s="44">
        <f t="shared" si="69"/>
        <v>24160000</v>
      </c>
      <c r="N141" s="44">
        <v>0</v>
      </c>
      <c r="O141" s="44">
        <v>24160000</v>
      </c>
      <c r="P141" s="44">
        <f t="shared" si="66"/>
        <v>0</v>
      </c>
      <c r="Q141" s="58">
        <v>24160000</v>
      </c>
      <c r="R141" s="25">
        <f t="shared" si="60"/>
        <v>1</v>
      </c>
      <c r="S141" s="58">
        <v>0</v>
      </c>
      <c r="T141" s="59">
        <v>0</v>
      </c>
    </row>
    <row r="142" spans="1:20" ht="51.75" customHeight="1" x14ac:dyDescent="0.25">
      <c r="A142" s="95" t="s">
        <v>18</v>
      </c>
      <c r="B142" s="99" t="s">
        <v>90</v>
      </c>
      <c r="C142" s="99" t="s">
        <v>91</v>
      </c>
      <c r="D142" s="99" t="s">
        <v>94</v>
      </c>
      <c r="E142" s="99"/>
      <c r="F142" s="99"/>
      <c r="G142" s="12" t="s">
        <v>222</v>
      </c>
      <c r="H142" s="99" t="s">
        <v>5</v>
      </c>
      <c r="I142" s="100">
        <v>10</v>
      </c>
      <c r="J142" s="101">
        <f>J143+J144+J145</f>
        <v>4360000000</v>
      </c>
      <c r="K142" s="101">
        <f>K143+K144+K145</f>
        <v>680433130</v>
      </c>
      <c r="L142" s="48">
        <f>L143+L144+L145</f>
        <v>680433130</v>
      </c>
      <c r="M142" s="48">
        <f t="shared" ref="M142:T142" si="75">M143+M144+M145</f>
        <v>4360000000</v>
      </c>
      <c r="N142" s="48">
        <f t="shared" si="75"/>
        <v>0</v>
      </c>
      <c r="O142" s="48">
        <f t="shared" si="75"/>
        <v>4279537843</v>
      </c>
      <c r="P142" s="48">
        <f t="shared" si="75"/>
        <v>80462157</v>
      </c>
      <c r="Q142" s="101">
        <f t="shared" si="75"/>
        <v>4279537843</v>
      </c>
      <c r="R142" s="26">
        <f t="shared" si="60"/>
        <v>0.98154537683486243</v>
      </c>
      <c r="S142" s="101">
        <f t="shared" si="75"/>
        <v>23757160</v>
      </c>
      <c r="T142" s="102">
        <f t="shared" si="75"/>
        <v>23757160</v>
      </c>
    </row>
    <row r="143" spans="1:20" ht="58.5" customHeight="1" x14ac:dyDescent="0.25">
      <c r="A143" s="94" t="s">
        <v>18</v>
      </c>
      <c r="B143" s="56" t="s">
        <v>90</v>
      </c>
      <c r="C143" s="56" t="s">
        <v>91</v>
      </c>
      <c r="D143" s="56" t="s">
        <v>94</v>
      </c>
      <c r="E143" s="56" t="s">
        <v>155</v>
      </c>
      <c r="F143" s="56" t="s">
        <v>170</v>
      </c>
      <c r="G143" s="23" t="s">
        <v>193</v>
      </c>
      <c r="H143" s="56" t="s">
        <v>5</v>
      </c>
      <c r="I143" s="57">
        <v>10</v>
      </c>
      <c r="J143" s="44">
        <v>2280000000</v>
      </c>
      <c r="K143" s="44">
        <v>680433130</v>
      </c>
      <c r="L143" s="44">
        <v>0</v>
      </c>
      <c r="M143" s="44">
        <f t="shared" si="69"/>
        <v>2960433130</v>
      </c>
      <c r="N143" s="44">
        <v>0</v>
      </c>
      <c r="O143" s="44">
        <v>2956050222</v>
      </c>
      <c r="P143" s="44">
        <f t="shared" si="66"/>
        <v>4382908</v>
      </c>
      <c r="Q143" s="58">
        <v>2956050222</v>
      </c>
      <c r="R143" s="25">
        <f t="shared" si="60"/>
        <v>0.99851950447534688</v>
      </c>
      <c r="S143" s="58">
        <v>23757160</v>
      </c>
      <c r="T143" s="59">
        <v>23757160</v>
      </c>
    </row>
    <row r="144" spans="1:20" ht="57.75" customHeight="1" x14ac:dyDescent="0.25">
      <c r="A144" s="94" t="s">
        <v>18</v>
      </c>
      <c r="B144" s="56" t="s">
        <v>90</v>
      </c>
      <c r="C144" s="56" t="s">
        <v>91</v>
      </c>
      <c r="D144" s="56" t="s">
        <v>94</v>
      </c>
      <c r="E144" s="56" t="s">
        <v>155</v>
      </c>
      <c r="F144" s="56" t="s">
        <v>171</v>
      </c>
      <c r="G144" s="23" t="s">
        <v>194</v>
      </c>
      <c r="H144" s="56" t="s">
        <v>5</v>
      </c>
      <c r="I144" s="57">
        <v>10</v>
      </c>
      <c r="J144" s="44">
        <v>1500000000</v>
      </c>
      <c r="K144" s="44">
        <v>0</v>
      </c>
      <c r="L144" s="44">
        <v>100433130</v>
      </c>
      <c r="M144" s="44">
        <f t="shared" si="69"/>
        <v>1399566870</v>
      </c>
      <c r="N144" s="44">
        <v>0</v>
      </c>
      <c r="O144" s="44">
        <v>1323487621</v>
      </c>
      <c r="P144" s="44">
        <f t="shared" ref="P144:P145" si="76">+M144-O144-N144</f>
        <v>76079249</v>
      </c>
      <c r="Q144" s="58">
        <v>1323487621</v>
      </c>
      <c r="R144" s="25">
        <f t="shared" si="60"/>
        <v>0.94564086173317319</v>
      </c>
      <c r="S144" s="58">
        <v>0</v>
      </c>
      <c r="T144" s="59">
        <v>0</v>
      </c>
    </row>
    <row r="145" spans="1:20" ht="48" customHeight="1" x14ac:dyDescent="0.25">
      <c r="A145" s="94" t="s">
        <v>18</v>
      </c>
      <c r="B145" s="56" t="s">
        <v>90</v>
      </c>
      <c r="C145" s="56" t="s">
        <v>91</v>
      </c>
      <c r="D145" s="56" t="s">
        <v>94</v>
      </c>
      <c r="E145" s="56" t="s">
        <v>155</v>
      </c>
      <c r="F145" s="56" t="s">
        <v>172</v>
      </c>
      <c r="G145" s="23" t="s">
        <v>195</v>
      </c>
      <c r="H145" s="56" t="s">
        <v>5</v>
      </c>
      <c r="I145" s="57">
        <v>10</v>
      </c>
      <c r="J145" s="44">
        <v>580000000</v>
      </c>
      <c r="K145" s="44">
        <v>0</v>
      </c>
      <c r="L145" s="44">
        <v>580000000</v>
      </c>
      <c r="M145" s="44">
        <f t="shared" si="69"/>
        <v>0</v>
      </c>
      <c r="N145" s="44">
        <v>0</v>
      </c>
      <c r="O145" s="44">
        <v>0</v>
      </c>
      <c r="P145" s="44">
        <f t="shared" si="76"/>
        <v>0</v>
      </c>
      <c r="Q145" s="58">
        <v>0</v>
      </c>
      <c r="R145" s="25">
        <f t="shared" si="60"/>
        <v>0</v>
      </c>
      <c r="S145" s="58">
        <v>0</v>
      </c>
      <c r="T145" s="59">
        <v>0</v>
      </c>
    </row>
    <row r="146" spans="1:20" ht="46.5" customHeight="1" x14ac:dyDescent="0.25">
      <c r="A146" s="95" t="s">
        <v>18</v>
      </c>
      <c r="B146" s="99" t="s">
        <v>90</v>
      </c>
      <c r="C146" s="99" t="s">
        <v>91</v>
      </c>
      <c r="D146" s="99" t="s">
        <v>95</v>
      </c>
      <c r="E146" s="99"/>
      <c r="F146" s="99"/>
      <c r="G146" s="12" t="s">
        <v>223</v>
      </c>
      <c r="H146" s="99" t="s">
        <v>5</v>
      </c>
      <c r="I146" s="100">
        <v>11</v>
      </c>
      <c r="J146" s="101">
        <f>J148+J149</f>
        <v>9015000000</v>
      </c>
      <c r="K146" s="101"/>
      <c r="L146" s="48">
        <f t="shared" ref="L146:T146" si="77">L148+L149</f>
        <v>0</v>
      </c>
      <c r="M146" s="48">
        <f t="shared" si="77"/>
        <v>9015000000</v>
      </c>
      <c r="N146" s="48">
        <f t="shared" si="77"/>
        <v>0</v>
      </c>
      <c r="O146" s="48">
        <f t="shared" si="77"/>
        <v>8994646622.6800003</v>
      </c>
      <c r="P146" s="48">
        <f>P148+P149</f>
        <v>20353377.320000172</v>
      </c>
      <c r="Q146" s="101">
        <f t="shared" si="77"/>
        <v>3840588777.6800003</v>
      </c>
      <c r="R146" s="26">
        <f t="shared" si="60"/>
        <v>0.4260220496594565</v>
      </c>
      <c r="S146" s="101">
        <f t="shared" si="77"/>
        <v>0</v>
      </c>
      <c r="T146" s="102">
        <f t="shared" si="77"/>
        <v>0</v>
      </c>
    </row>
    <row r="147" spans="1:20" ht="46.5" customHeight="1" x14ac:dyDescent="0.25">
      <c r="A147" s="95" t="s">
        <v>18</v>
      </c>
      <c r="B147" s="99" t="s">
        <v>90</v>
      </c>
      <c r="C147" s="99" t="s">
        <v>91</v>
      </c>
      <c r="D147" s="99" t="s">
        <v>95</v>
      </c>
      <c r="E147" s="99"/>
      <c r="F147" s="99"/>
      <c r="G147" s="12" t="s">
        <v>223</v>
      </c>
      <c r="H147" s="99" t="s">
        <v>5</v>
      </c>
      <c r="I147" s="100">
        <v>21</v>
      </c>
      <c r="J147" s="101">
        <f>J150+J151</f>
        <v>2884000000</v>
      </c>
      <c r="K147" s="101">
        <f t="shared" ref="K147:T147" si="78">K150+K151</f>
        <v>0</v>
      </c>
      <c r="L147" s="48">
        <f t="shared" si="78"/>
        <v>0</v>
      </c>
      <c r="M147" s="48">
        <f t="shared" si="78"/>
        <v>2884000000</v>
      </c>
      <c r="N147" s="48">
        <f t="shared" si="78"/>
        <v>0</v>
      </c>
      <c r="O147" s="48">
        <f t="shared" si="78"/>
        <v>2800313284.0999999</v>
      </c>
      <c r="P147" s="48">
        <f t="shared" si="78"/>
        <v>83686715.900000095</v>
      </c>
      <c r="Q147" s="101">
        <f t="shared" si="78"/>
        <v>2731565989.0999999</v>
      </c>
      <c r="R147" s="26">
        <f t="shared" si="60"/>
        <v>0.94714493380721221</v>
      </c>
      <c r="S147" s="101">
        <f t="shared" si="78"/>
        <v>368366896.10000002</v>
      </c>
      <c r="T147" s="102">
        <f t="shared" si="78"/>
        <v>368366896.10000002</v>
      </c>
    </row>
    <row r="148" spans="1:20" ht="46.5" customHeight="1" x14ac:dyDescent="0.25">
      <c r="A148" s="94" t="s">
        <v>18</v>
      </c>
      <c r="B148" s="56" t="s">
        <v>90</v>
      </c>
      <c r="C148" s="56" t="s">
        <v>91</v>
      </c>
      <c r="D148" s="56" t="s">
        <v>95</v>
      </c>
      <c r="E148" s="56" t="s">
        <v>153</v>
      </c>
      <c r="F148" s="56" t="s">
        <v>173</v>
      </c>
      <c r="G148" s="23" t="s">
        <v>196</v>
      </c>
      <c r="H148" s="56" t="s">
        <v>5</v>
      </c>
      <c r="I148" s="57">
        <v>11</v>
      </c>
      <c r="J148" s="58">
        <v>3965000000</v>
      </c>
      <c r="K148" s="58">
        <v>0</v>
      </c>
      <c r="L148" s="44">
        <v>0</v>
      </c>
      <c r="M148" s="44">
        <v>3965000000</v>
      </c>
      <c r="N148" s="44">
        <v>0</v>
      </c>
      <c r="O148" s="44">
        <v>3949285123.6799998</v>
      </c>
      <c r="P148" s="44">
        <f t="shared" si="66"/>
        <v>15714876.320000172</v>
      </c>
      <c r="Q148" s="58">
        <v>1840215844.6800001</v>
      </c>
      <c r="R148" s="25">
        <f t="shared" si="60"/>
        <v>0.46411496713240857</v>
      </c>
      <c r="S148" s="58">
        <v>0</v>
      </c>
      <c r="T148" s="59">
        <v>0</v>
      </c>
    </row>
    <row r="149" spans="1:20" ht="41.25" customHeight="1" x14ac:dyDescent="0.25">
      <c r="A149" s="94" t="s">
        <v>18</v>
      </c>
      <c r="B149" s="56" t="s">
        <v>90</v>
      </c>
      <c r="C149" s="56" t="s">
        <v>91</v>
      </c>
      <c r="D149" s="56" t="s">
        <v>95</v>
      </c>
      <c r="E149" s="56" t="s">
        <v>153</v>
      </c>
      <c r="F149" s="56" t="s">
        <v>174</v>
      </c>
      <c r="G149" s="23" t="s">
        <v>197</v>
      </c>
      <c r="H149" s="56" t="s">
        <v>5</v>
      </c>
      <c r="I149" s="57">
        <v>11</v>
      </c>
      <c r="J149" s="44">
        <v>5050000000</v>
      </c>
      <c r="K149" s="44">
        <v>0</v>
      </c>
      <c r="L149" s="44">
        <v>0</v>
      </c>
      <c r="M149" s="44">
        <f t="shared" si="69"/>
        <v>5050000000</v>
      </c>
      <c r="N149" s="44">
        <v>0</v>
      </c>
      <c r="O149" s="44">
        <v>5045361499</v>
      </c>
      <c r="P149" s="44">
        <f t="shared" si="66"/>
        <v>4638501</v>
      </c>
      <c r="Q149" s="58">
        <v>2000372933</v>
      </c>
      <c r="R149" s="25">
        <f t="shared" si="60"/>
        <v>0.3961134520792079</v>
      </c>
      <c r="S149" s="58">
        <v>0</v>
      </c>
      <c r="T149" s="59">
        <v>0</v>
      </c>
    </row>
    <row r="150" spans="1:20" ht="41.25" customHeight="1" x14ac:dyDescent="0.25">
      <c r="A150" s="94" t="s">
        <v>18</v>
      </c>
      <c r="B150" s="56" t="s">
        <v>90</v>
      </c>
      <c r="C150" s="56" t="s">
        <v>91</v>
      </c>
      <c r="D150" s="56" t="s">
        <v>95</v>
      </c>
      <c r="E150" s="56" t="s">
        <v>153</v>
      </c>
      <c r="F150" s="56" t="s">
        <v>174</v>
      </c>
      <c r="G150" s="23" t="s">
        <v>197</v>
      </c>
      <c r="H150" s="56" t="s">
        <v>8</v>
      </c>
      <c r="I150" s="57">
        <v>21</v>
      </c>
      <c r="J150" s="44">
        <v>1584000000</v>
      </c>
      <c r="K150" s="44">
        <v>0</v>
      </c>
      <c r="L150" s="44">
        <v>0</v>
      </c>
      <c r="M150" s="44">
        <f t="shared" si="69"/>
        <v>1584000000</v>
      </c>
      <c r="N150" s="44">
        <v>0</v>
      </c>
      <c r="O150" s="44">
        <v>1575998195.0999999</v>
      </c>
      <c r="P150" s="44">
        <f t="shared" ref="P150" si="79">+M150-O150-N150</f>
        <v>8001804.9000000954</v>
      </c>
      <c r="Q150" s="58">
        <v>1560564285.0999999</v>
      </c>
      <c r="R150" s="25">
        <f t="shared" si="60"/>
        <v>0.98520472544191917</v>
      </c>
      <c r="S150" s="58">
        <v>196528219.09999999</v>
      </c>
      <c r="T150" s="59">
        <v>196528219.09999999</v>
      </c>
    </row>
    <row r="151" spans="1:20" ht="41.25" customHeight="1" x14ac:dyDescent="0.25">
      <c r="A151" s="94" t="s">
        <v>18</v>
      </c>
      <c r="B151" s="56" t="s">
        <v>90</v>
      </c>
      <c r="C151" s="56" t="s">
        <v>91</v>
      </c>
      <c r="D151" s="56" t="s">
        <v>95</v>
      </c>
      <c r="E151" s="56" t="s">
        <v>153</v>
      </c>
      <c r="F151" s="56" t="s">
        <v>173</v>
      </c>
      <c r="G151" s="23" t="s">
        <v>196</v>
      </c>
      <c r="H151" s="56" t="s">
        <v>8</v>
      </c>
      <c r="I151" s="57">
        <v>21</v>
      </c>
      <c r="J151" s="44">
        <v>1300000000</v>
      </c>
      <c r="K151" s="44">
        <v>0</v>
      </c>
      <c r="L151" s="44">
        <v>0</v>
      </c>
      <c r="M151" s="44">
        <f t="shared" si="69"/>
        <v>1300000000</v>
      </c>
      <c r="N151" s="44">
        <v>0</v>
      </c>
      <c r="O151" s="44">
        <v>1224315089</v>
      </c>
      <c r="P151" s="44">
        <f t="shared" ref="P151" si="80">+M151-O151-N151</f>
        <v>75684911</v>
      </c>
      <c r="Q151" s="58">
        <v>1171001704</v>
      </c>
      <c r="R151" s="25">
        <f t="shared" si="60"/>
        <v>0.90077054153846159</v>
      </c>
      <c r="S151" s="59">
        <v>171838677</v>
      </c>
      <c r="T151" s="59">
        <v>171838677</v>
      </c>
    </row>
    <row r="152" spans="1:20" s="103" customFormat="1" ht="41.25" customHeight="1" x14ac:dyDescent="0.25">
      <c r="A152" s="95" t="s">
        <v>18</v>
      </c>
      <c r="B152" s="99" t="s">
        <v>90</v>
      </c>
      <c r="C152" s="99" t="s">
        <v>91</v>
      </c>
      <c r="D152" s="99" t="s">
        <v>96</v>
      </c>
      <c r="E152" s="99"/>
      <c r="F152" s="99"/>
      <c r="G152" s="12" t="s">
        <v>241</v>
      </c>
      <c r="H152" s="99" t="s">
        <v>5</v>
      </c>
      <c r="I152" s="100">
        <v>10</v>
      </c>
      <c r="J152" s="48">
        <f>J153+J154+J155</f>
        <v>1300000000</v>
      </c>
      <c r="K152" s="48">
        <f>K153+K154+K155</f>
        <v>50000000</v>
      </c>
      <c r="L152" s="48">
        <f t="shared" ref="L152:T152" si="81">L153+L154+L155</f>
        <v>50000000</v>
      </c>
      <c r="M152" s="48">
        <f t="shared" si="81"/>
        <v>1300000000</v>
      </c>
      <c r="N152" s="48">
        <f t="shared" si="81"/>
        <v>900000000</v>
      </c>
      <c r="O152" s="48">
        <f t="shared" si="81"/>
        <v>400000000</v>
      </c>
      <c r="P152" s="48">
        <f t="shared" si="81"/>
        <v>0</v>
      </c>
      <c r="Q152" s="101">
        <f t="shared" si="81"/>
        <v>89923795</v>
      </c>
      <c r="R152" s="26">
        <f t="shared" si="60"/>
        <v>0.22480948749999999</v>
      </c>
      <c r="S152" s="101">
        <f t="shared" si="81"/>
        <v>34227050</v>
      </c>
      <c r="T152" s="102">
        <f t="shared" si="81"/>
        <v>34227050</v>
      </c>
    </row>
    <row r="153" spans="1:20" s="47" customFormat="1" ht="55.5" customHeight="1" x14ac:dyDescent="0.25">
      <c r="A153" s="94" t="s">
        <v>18</v>
      </c>
      <c r="B153" s="56" t="s">
        <v>90</v>
      </c>
      <c r="C153" s="56" t="s">
        <v>91</v>
      </c>
      <c r="D153" s="56" t="s">
        <v>96</v>
      </c>
      <c r="E153" s="56" t="s">
        <v>153</v>
      </c>
      <c r="F153" s="56" t="s">
        <v>175</v>
      </c>
      <c r="G153" s="23" t="s">
        <v>198</v>
      </c>
      <c r="H153" s="56" t="s">
        <v>5</v>
      </c>
      <c r="I153" s="57">
        <v>10</v>
      </c>
      <c r="J153" s="58">
        <v>437500000</v>
      </c>
      <c r="K153" s="58">
        <v>0</v>
      </c>
      <c r="L153" s="44">
        <v>50000000</v>
      </c>
      <c r="M153" s="44">
        <f t="shared" si="69"/>
        <v>387500000</v>
      </c>
      <c r="N153" s="44">
        <v>387500000</v>
      </c>
      <c r="O153" s="44">
        <v>0</v>
      </c>
      <c r="P153" s="44">
        <f t="shared" si="66"/>
        <v>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8" customHeight="1" x14ac:dyDescent="0.25">
      <c r="A154" s="94" t="s">
        <v>18</v>
      </c>
      <c r="B154" s="56" t="s">
        <v>90</v>
      </c>
      <c r="C154" s="56" t="s">
        <v>91</v>
      </c>
      <c r="D154" s="56" t="s">
        <v>96</v>
      </c>
      <c r="E154" s="56" t="s">
        <v>153</v>
      </c>
      <c r="F154" s="56" t="s">
        <v>176</v>
      </c>
      <c r="G154" s="23" t="s">
        <v>199</v>
      </c>
      <c r="H154" s="56" t="s">
        <v>5</v>
      </c>
      <c r="I154" s="57">
        <v>10</v>
      </c>
      <c r="J154" s="58">
        <v>700000000</v>
      </c>
      <c r="K154" s="58">
        <v>50000000</v>
      </c>
      <c r="L154" s="44">
        <v>0</v>
      </c>
      <c r="M154" s="44">
        <f t="shared" si="69"/>
        <v>750000000</v>
      </c>
      <c r="N154" s="44">
        <v>350000000</v>
      </c>
      <c r="O154" s="44">
        <v>400000000</v>
      </c>
      <c r="P154" s="44">
        <f t="shared" ref="P154:P155" si="82">+M154-O154-N154</f>
        <v>0</v>
      </c>
      <c r="Q154" s="58">
        <v>89923795</v>
      </c>
      <c r="R154" s="25">
        <f t="shared" si="60"/>
        <v>0.22480948749999999</v>
      </c>
      <c r="S154" s="58">
        <v>34227050</v>
      </c>
      <c r="T154" s="59">
        <v>34227050</v>
      </c>
    </row>
    <row r="155" spans="1:20" s="47" customFormat="1" ht="42.75" customHeight="1" x14ac:dyDescent="0.25">
      <c r="A155" s="94" t="s">
        <v>18</v>
      </c>
      <c r="B155" s="56" t="s">
        <v>90</v>
      </c>
      <c r="C155" s="56" t="s">
        <v>91</v>
      </c>
      <c r="D155" s="56" t="s">
        <v>96</v>
      </c>
      <c r="E155" s="56" t="s">
        <v>153</v>
      </c>
      <c r="F155" s="56" t="s">
        <v>177</v>
      </c>
      <c r="G155" s="23" t="s">
        <v>200</v>
      </c>
      <c r="H155" s="56" t="s">
        <v>5</v>
      </c>
      <c r="I155" s="57">
        <v>10</v>
      </c>
      <c r="J155" s="58">
        <v>162500000</v>
      </c>
      <c r="K155" s="58">
        <v>0</v>
      </c>
      <c r="L155" s="44">
        <v>0</v>
      </c>
      <c r="M155" s="44">
        <f t="shared" si="69"/>
        <v>162500000</v>
      </c>
      <c r="N155" s="44">
        <v>162500000</v>
      </c>
      <c r="O155" s="44">
        <v>0</v>
      </c>
      <c r="P155" s="44">
        <f t="shared" si="82"/>
        <v>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2.75" customHeight="1" x14ac:dyDescent="0.25">
      <c r="A156" s="95" t="s">
        <v>18</v>
      </c>
      <c r="B156" s="99" t="s">
        <v>90</v>
      </c>
      <c r="C156" s="99" t="s">
        <v>91</v>
      </c>
      <c r="D156" s="99">
        <v>16</v>
      </c>
      <c r="E156" s="99"/>
      <c r="F156" s="99"/>
      <c r="G156" s="12" t="s">
        <v>224</v>
      </c>
      <c r="H156" s="56" t="s">
        <v>5</v>
      </c>
      <c r="I156" s="57">
        <v>10</v>
      </c>
      <c r="J156" s="101">
        <f>J157+J158+J159+J160</f>
        <v>20000000000</v>
      </c>
      <c r="K156" s="101">
        <f t="shared" ref="K156:T156" si="83">K157+K158+K159+K160</f>
        <v>0</v>
      </c>
      <c r="L156" s="48">
        <f t="shared" si="83"/>
        <v>0</v>
      </c>
      <c r="M156" s="48">
        <f t="shared" si="83"/>
        <v>20000000000</v>
      </c>
      <c r="N156" s="48">
        <f t="shared" si="83"/>
        <v>5551302830</v>
      </c>
      <c r="O156" s="48">
        <f t="shared" si="83"/>
        <v>12165005994.959999</v>
      </c>
      <c r="P156" s="48">
        <f t="shared" si="83"/>
        <v>2283691175.04</v>
      </c>
      <c r="Q156" s="101">
        <f t="shared" si="83"/>
        <v>6130727303.96</v>
      </c>
      <c r="R156" s="26">
        <f t="shared" si="60"/>
        <v>0.42431004206312117</v>
      </c>
      <c r="S156" s="101">
        <f t="shared" si="83"/>
        <v>32870370</v>
      </c>
      <c r="T156" s="102">
        <f t="shared" si="83"/>
        <v>32870370</v>
      </c>
    </row>
    <row r="157" spans="1:20" s="47" customFormat="1" ht="48" customHeight="1" x14ac:dyDescent="0.25">
      <c r="A157" s="94" t="s">
        <v>18</v>
      </c>
      <c r="B157" s="56" t="s">
        <v>90</v>
      </c>
      <c r="C157" s="56" t="s">
        <v>91</v>
      </c>
      <c r="D157" s="56">
        <v>16</v>
      </c>
      <c r="E157" s="56" t="s">
        <v>155</v>
      </c>
      <c r="F157" s="56" t="s">
        <v>165</v>
      </c>
      <c r="G157" s="23" t="s">
        <v>201</v>
      </c>
      <c r="H157" s="56" t="s">
        <v>5</v>
      </c>
      <c r="I157" s="57">
        <v>10</v>
      </c>
      <c r="J157" s="58">
        <v>8500000000</v>
      </c>
      <c r="K157" s="58">
        <v>0</v>
      </c>
      <c r="L157" s="44">
        <v>0</v>
      </c>
      <c r="M157" s="44">
        <f t="shared" si="69"/>
        <v>8500000000</v>
      </c>
      <c r="N157" s="44">
        <v>0</v>
      </c>
      <c r="O157" s="44">
        <v>8488877597.96</v>
      </c>
      <c r="P157" s="44">
        <f t="shared" si="66"/>
        <v>11122402.039999962</v>
      </c>
      <c r="Q157" s="58">
        <v>4130541317.96</v>
      </c>
      <c r="R157" s="25">
        <f t="shared" si="60"/>
        <v>0.48594603740705883</v>
      </c>
      <c r="S157" s="58">
        <v>0</v>
      </c>
      <c r="T157" s="59">
        <v>0</v>
      </c>
    </row>
    <row r="158" spans="1:20" s="47" customFormat="1" ht="48.75" customHeight="1" x14ac:dyDescent="0.25">
      <c r="A158" s="94" t="s">
        <v>18</v>
      </c>
      <c r="B158" s="56" t="s">
        <v>90</v>
      </c>
      <c r="C158" s="56" t="s">
        <v>91</v>
      </c>
      <c r="D158" s="56">
        <v>16</v>
      </c>
      <c r="E158" s="56" t="s">
        <v>155</v>
      </c>
      <c r="F158" s="56" t="s">
        <v>163</v>
      </c>
      <c r="G158" s="23" t="s">
        <v>202</v>
      </c>
      <c r="H158" s="56" t="s">
        <v>5</v>
      </c>
      <c r="I158" s="57">
        <v>10</v>
      </c>
      <c r="J158" s="58">
        <v>5100000000</v>
      </c>
      <c r="K158" s="58">
        <v>0</v>
      </c>
      <c r="L158" s="44">
        <v>0</v>
      </c>
      <c r="M158" s="44">
        <f t="shared" si="69"/>
        <v>5100000000</v>
      </c>
      <c r="N158" s="44">
        <v>287591962</v>
      </c>
      <c r="O158" s="44">
        <v>3406968895</v>
      </c>
      <c r="P158" s="44">
        <f t="shared" ref="P158:P160" si="84">+M158-O158-N158</f>
        <v>1405439143</v>
      </c>
      <c r="Q158" s="58">
        <v>1967315616</v>
      </c>
      <c r="R158" s="25">
        <f t="shared" si="60"/>
        <v>0.40880066703936463</v>
      </c>
      <c r="S158" s="58">
        <v>0</v>
      </c>
      <c r="T158" s="59">
        <v>0</v>
      </c>
    </row>
    <row r="159" spans="1:20" s="47" customFormat="1" ht="49.5" customHeight="1" x14ac:dyDescent="0.25">
      <c r="A159" s="94" t="s">
        <v>18</v>
      </c>
      <c r="B159" s="56" t="s">
        <v>90</v>
      </c>
      <c r="C159" s="56" t="s">
        <v>91</v>
      </c>
      <c r="D159" s="56">
        <v>16</v>
      </c>
      <c r="E159" s="56" t="s">
        <v>155</v>
      </c>
      <c r="F159" s="56" t="s">
        <v>171</v>
      </c>
      <c r="G159" s="23" t="s">
        <v>203</v>
      </c>
      <c r="H159" s="56" t="s">
        <v>5</v>
      </c>
      <c r="I159" s="57">
        <v>10</v>
      </c>
      <c r="J159" s="58">
        <v>900000000</v>
      </c>
      <c r="K159" s="58">
        <v>0</v>
      </c>
      <c r="L159" s="44">
        <v>0</v>
      </c>
      <c r="M159" s="44">
        <f t="shared" si="69"/>
        <v>900000000</v>
      </c>
      <c r="N159" s="44">
        <v>0</v>
      </c>
      <c r="O159" s="44">
        <v>32870370</v>
      </c>
      <c r="P159" s="44">
        <f t="shared" si="84"/>
        <v>867129630</v>
      </c>
      <c r="Q159" s="58">
        <v>32870370</v>
      </c>
      <c r="R159" s="25">
        <f t="shared" si="60"/>
        <v>3.6522633333333332E-2</v>
      </c>
      <c r="S159" s="58">
        <v>32870370</v>
      </c>
      <c r="T159" s="59">
        <v>32870370</v>
      </c>
    </row>
    <row r="160" spans="1:20" s="47" customFormat="1" ht="49.5" customHeight="1" x14ac:dyDescent="0.25">
      <c r="A160" s="94" t="s">
        <v>18</v>
      </c>
      <c r="B160" s="56" t="s">
        <v>90</v>
      </c>
      <c r="C160" s="56" t="s">
        <v>91</v>
      </c>
      <c r="D160" s="56">
        <v>16</v>
      </c>
      <c r="E160" s="56" t="s">
        <v>155</v>
      </c>
      <c r="F160" s="56" t="s">
        <v>169</v>
      </c>
      <c r="G160" s="23" t="s">
        <v>204</v>
      </c>
      <c r="H160" s="56" t="s">
        <v>5</v>
      </c>
      <c r="I160" s="57">
        <v>10</v>
      </c>
      <c r="J160" s="58">
        <v>5500000000</v>
      </c>
      <c r="K160" s="58">
        <v>0</v>
      </c>
      <c r="L160" s="44">
        <v>0</v>
      </c>
      <c r="M160" s="44">
        <f t="shared" si="69"/>
        <v>5500000000</v>
      </c>
      <c r="N160" s="44">
        <v>5263710868</v>
      </c>
      <c r="O160" s="44">
        <v>236289132</v>
      </c>
      <c r="P160" s="44">
        <f t="shared" si="84"/>
        <v>0</v>
      </c>
      <c r="Q160" s="58">
        <v>0</v>
      </c>
      <c r="R160" s="25">
        <f t="shared" si="60"/>
        <v>0</v>
      </c>
      <c r="S160" s="58">
        <v>0</v>
      </c>
      <c r="T160" s="59">
        <v>0</v>
      </c>
    </row>
    <row r="161" spans="1:20" ht="31.5" customHeight="1" x14ac:dyDescent="0.25">
      <c r="A161" s="95" t="s">
        <v>18</v>
      </c>
      <c r="B161" s="11">
        <v>2999</v>
      </c>
      <c r="C161" s="11"/>
      <c r="D161" s="11"/>
      <c r="E161" s="11"/>
      <c r="F161" s="11"/>
      <c r="G161" s="12" t="s">
        <v>104</v>
      </c>
      <c r="H161" s="11" t="s">
        <v>5</v>
      </c>
      <c r="I161" s="13">
        <v>10</v>
      </c>
      <c r="J161" s="14">
        <f>J162</f>
        <v>35340115679</v>
      </c>
      <c r="K161" s="14">
        <f t="shared" ref="K161:Q161" si="85">K162</f>
        <v>42991612</v>
      </c>
      <c r="L161" s="24">
        <f t="shared" si="85"/>
        <v>42991612</v>
      </c>
      <c r="M161" s="48">
        <f t="shared" si="85"/>
        <v>35340115679</v>
      </c>
      <c r="N161" s="24">
        <f t="shared" si="85"/>
        <v>1323276263</v>
      </c>
      <c r="O161" s="24">
        <f t="shared" si="85"/>
        <v>22512303017.77</v>
      </c>
      <c r="P161" s="24">
        <f t="shared" si="85"/>
        <v>11504536398.23</v>
      </c>
      <c r="Q161" s="14">
        <f t="shared" si="85"/>
        <v>15947909393.77</v>
      </c>
      <c r="R161" s="26">
        <f t="shared" si="60"/>
        <v>0.46882396094296808</v>
      </c>
      <c r="S161" s="14">
        <f>S162</f>
        <v>571011175.44000006</v>
      </c>
      <c r="T161" s="22">
        <f t="shared" ref="T161" si="86">T162</f>
        <v>571011175.44000006</v>
      </c>
    </row>
    <row r="162" spans="1:20" ht="31.5" customHeight="1" x14ac:dyDescent="0.25">
      <c r="A162" s="95" t="s">
        <v>18</v>
      </c>
      <c r="B162" s="11" t="s">
        <v>97</v>
      </c>
      <c r="C162" s="11" t="s">
        <v>91</v>
      </c>
      <c r="D162" s="11"/>
      <c r="E162" s="11"/>
      <c r="F162" s="11"/>
      <c r="G162" s="12" t="s">
        <v>236</v>
      </c>
      <c r="H162" s="11" t="s">
        <v>5</v>
      </c>
      <c r="I162" s="13">
        <v>10</v>
      </c>
      <c r="J162" s="14">
        <f>J163+J165+J167+J169+J172+J175+J177+J179+J181+J183+J186</f>
        <v>35340115679</v>
      </c>
      <c r="K162" s="14">
        <f t="shared" ref="K162:O162" si="87">K163+K165+K167+K169+K172+K175+K177+K179+K181+K183+K186</f>
        <v>42991612</v>
      </c>
      <c r="L162" s="24">
        <f t="shared" si="87"/>
        <v>42991612</v>
      </c>
      <c r="M162" s="48">
        <f>M163+M165+M167+M169+M172+M175+M177+M179+M181+M183+M186</f>
        <v>35340115679</v>
      </c>
      <c r="N162" s="24">
        <f t="shared" si="87"/>
        <v>1323276263</v>
      </c>
      <c r="O162" s="24">
        <f t="shared" si="87"/>
        <v>22512303017.77</v>
      </c>
      <c r="P162" s="24">
        <f>P163+P165+P167+P169+P172+P175+P177+P179+P181+P183+P186</f>
        <v>11504536398.23</v>
      </c>
      <c r="Q162" s="14">
        <f>Q163+Q165+Q167+Q169+Q172+Q175+Q177+Q179+Q181+Q183+Q186</f>
        <v>15947909393.77</v>
      </c>
      <c r="R162" s="26">
        <f t="shared" si="60"/>
        <v>0.46882396094296808</v>
      </c>
      <c r="S162" s="14">
        <f>S163+S165+S167+S169+S172+S175+S177+S179+S181+S183+S186</f>
        <v>571011175.44000006</v>
      </c>
      <c r="T162" s="22">
        <f>T163+T165+T167+T169+T172+T175+T177+T179+T181+T183+T186</f>
        <v>571011175.44000006</v>
      </c>
    </row>
    <row r="163" spans="1:20" ht="31.5" customHeight="1" x14ac:dyDescent="0.25">
      <c r="A163" s="95" t="s">
        <v>18</v>
      </c>
      <c r="B163" s="11" t="s">
        <v>97</v>
      </c>
      <c r="C163" s="11" t="s">
        <v>91</v>
      </c>
      <c r="D163" s="11">
        <v>10</v>
      </c>
      <c r="E163" s="11"/>
      <c r="F163" s="11"/>
      <c r="G163" s="12" t="s">
        <v>225</v>
      </c>
      <c r="H163" s="11" t="s">
        <v>5</v>
      </c>
      <c r="I163" s="13">
        <v>10</v>
      </c>
      <c r="J163" s="14">
        <f>J164</f>
        <v>330000000</v>
      </c>
      <c r="K163" s="14">
        <f t="shared" ref="K163:T163" si="88">K164</f>
        <v>0</v>
      </c>
      <c r="L163" s="24">
        <f t="shared" si="88"/>
        <v>0</v>
      </c>
      <c r="M163" s="48">
        <f t="shared" si="88"/>
        <v>330000000</v>
      </c>
      <c r="N163" s="24">
        <f t="shared" si="88"/>
        <v>314628814</v>
      </c>
      <c r="O163" s="24">
        <f t="shared" si="88"/>
        <v>15371185.779999999</v>
      </c>
      <c r="P163" s="24">
        <f t="shared" si="88"/>
        <v>0.22000002861022949</v>
      </c>
      <c r="Q163" s="14">
        <f t="shared" si="88"/>
        <v>15371185.779999999</v>
      </c>
      <c r="R163" s="26">
        <f t="shared" si="60"/>
        <v>0.99999998568750648</v>
      </c>
      <c r="S163" s="14">
        <f>S164</f>
        <v>9525757.2599999998</v>
      </c>
      <c r="T163" s="10">
        <f t="shared" si="88"/>
        <v>9525757.2599999998</v>
      </c>
    </row>
    <row r="164" spans="1:20" ht="31.5" customHeight="1" x14ac:dyDescent="0.25">
      <c r="A164" s="94" t="s">
        <v>18</v>
      </c>
      <c r="B164" s="7" t="s">
        <v>97</v>
      </c>
      <c r="C164" s="7" t="s">
        <v>91</v>
      </c>
      <c r="D164" s="7">
        <v>10</v>
      </c>
      <c r="E164" s="7" t="s">
        <v>152</v>
      </c>
      <c r="F164" s="7" t="s">
        <v>180</v>
      </c>
      <c r="G164" s="23" t="s">
        <v>205</v>
      </c>
      <c r="H164" s="7" t="s">
        <v>5</v>
      </c>
      <c r="I164" s="8">
        <v>10</v>
      </c>
      <c r="J164" s="9">
        <v>330000000</v>
      </c>
      <c r="K164" s="9">
        <v>0</v>
      </c>
      <c r="L164" s="27">
        <v>0</v>
      </c>
      <c r="M164" s="44">
        <f>J164+K164-L164</f>
        <v>330000000</v>
      </c>
      <c r="N164" s="27">
        <v>314628814</v>
      </c>
      <c r="O164" s="27">
        <v>15371185.779999999</v>
      </c>
      <c r="P164" s="27">
        <f t="shared" ref="P164:P187" si="89">+M164-O164-N164</f>
        <v>0.22000002861022949</v>
      </c>
      <c r="Q164" s="9">
        <v>15371185.779999999</v>
      </c>
      <c r="R164" s="25">
        <f t="shared" si="60"/>
        <v>0.99999998568750648</v>
      </c>
      <c r="S164" s="9">
        <v>9525757.2599999998</v>
      </c>
      <c r="T164" s="10">
        <v>9525757.2599999998</v>
      </c>
    </row>
    <row r="165" spans="1:20" ht="31.5" customHeight="1" x14ac:dyDescent="0.25">
      <c r="A165" s="95" t="s">
        <v>18</v>
      </c>
      <c r="B165" s="11" t="s">
        <v>97</v>
      </c>
      <c r="C165" s="11" t="s">
        <v>91</v>
      </c>
      <c r="D165" s="11">
        <v>11</v>
      </c>
      <c r="E165" s="11"/>
      <c r="F165" s="11"/>
      <c r="G165" s="12" t="s">
        <v>226</v>
      </c>
      <c r="H165" s="11" t="s">
        <v>5</v>
      </c>
      <c r="I165" s="13">
        <v>10</v>
      </c>
      <c r="J165" s="14">
        <f>J166</f>
        <v>3793000000</v>
      </c>
      <c r="K165" s="14">
        <f t="shared" ref="K165:T165" si="90">K166</f>
        <v>0</v>
      </c>
      <c r="L165" s="24">
        <f t="shared" si="90"/>
        <v>0</v>
      </c>
      <c r="M165" s="48">
        <f t="shared" si="90"/>
        <v>3793000000</v>
      </c>
      <c r="N165" s="24">
        <f t="shared" si="90"/>
        <v>1008526523</v>
      </c>
      <c r="O165" s="24">
        <f t="shared" si="90"/>
        <v>2784473477</v>
      </c>
      <c r="P165" s="24">
        <f t="shared" si="90"/>
        <v>0</v>
      </c>
      <c r="Q165" s="14">
        <f t="shared" si="90"/>
        <v>0</v>
      </c>
      <c r="R165" s="26">
        <f t="shared" si="60"/>
        <v>0</v>
      </c>
      <c r="S165" s="14">
        <f t="shared" si="90"/>
        <v>0</v>
      </c>
      <c r="T165" s="22">
        <f t="shared" si="90"/>
        <v>0</v>
      </c>
    </row>
    <row r="166" spans="1:20" ht="31.5" customHeight="1" x14ac:dyDescent="0.25">
      <c r="A166" s="94" t="s">
        <v>18</v>
      </c>
      <c r="B166" s="7" t="s">
        <v>97</v>
      </c>
      <c r="C166" s="7" t="s">
        <v>91</v>
      </c>
      <c r="D166" s="7">
        <v>11</v>
      </c>
      <c r="E166" s="7" t="s">
        <v>152</v>
      </c>
      <c r="F166" s="7" t="s">
        <v>180</v>
      </c>
      <c r="G166" s="23" t="s">
        <v>206</v>
      </c>
      <c r="H166" s="7" t="s">
        <v>5</v>
      </c>
      <c r="I166" s="8">
        <v>10</v>
      </c>
      <c r="J166" s="9">
        <v>3793000000</v>
      </c>
      <c r="K166" s="9">
        <v>0</v>
      </c>
      <c r="L166" s="27">
        <v>0</v>
      </c>
      <c r="M166" s="44">
        <f t="shared" ref="M166:M187" si="91">J166+K166-L166</f>
        <v>3793000000</v>
      </c>
      <c r="N166" s="27">
        <v>1008526523</v>
      </c>
      <c r="O166" s="27">
        <v>2784473477</v>
      </c>
      <c r="P166" s="27">
        <f t="shared" si="89"/>
        <v>0</v>
      </c>
      <c r="Q166" s="9">
        <v>0</v>
      </c>
      <c r="R166" s="25">
        <f t="shared" si="60"/>
        <v>0</v>
      </c>
      <c r="S166" s="9">
        <v>0</v>
      </c>
      <c r="T166" s="10">
        <v>0</v>
      </c>
    </row>
    <row r="167" spans="1:20" ht="31.5" customHeight="1" x14ac:dyDescent="0.25">
      <c r="A167" s="95" t="s">
        <v>18</v>
      </c>
      <c r="B167" s="11" t="s">
        <v>97</v>
      </c>
      <c r="C167" s="99" t="s">
        <v>91</v>
      </c>
      <c r="D167" s="99" t="s">
        <v>94</v>
      </c>
      <c r="E167" s="11"/>
      <c r="F167" s="11"/>
      <c r="G167" s="12" t="s">
        <v>227</v>
      </c>
      <c r="H167" s="99" t="s">
        <v>5</v>
      </c>
      <c r="I167" s="100">
        <v>10</v>
      </c>
      <c r="J167" s="14">
        <f>J168</f>
        <v>500000000</v>
      </c>
      <c r="K167" s="14">
        <f t="shared" ref="K167:T167" si="92">K168</f>
        <v>0</v>
      </c>
      <c r="L167" s="24">
        <f t="shared" si="92"/>
        <v>0</v>
      </c>
      <c r="M167" s="48">
        <f t="shared" si="92"/>
        <v>500000000</v>
      </c>
      <c r="N167" s="24">
        <f t="shared" si="92"/>
        <v>0</v>
      </c>
      <c r="O167" s="24">
        <f t="shared" si="92"/>
        <v>349978405</v>
      </c>
      <c r="P167" s="24">
        <f t="shared" si="92"/>
        <v>150021595</v>
      </c>
      <c r="Q167" s="14">
        <f t="shared" si="92"/>
        <v>349978405</v>
      </c>
      <c r="R167" s="26">
        <f t="shared" si="60"/>
        <v>0.69995680999999998</v>
      </c>
      <c r="S167" s="14">
        <f t="shared" si="92"/>
        <v>0</v>
      </c>
      <c r="T167" s="22">
        <f t="shared" si="92"/>
        <v>0</v>
      </c>
    </row>
    <row r="168" spans="1:20" ht="42.75" customHeight="1" x14ac:dyDescent="0.25">
      <c r="A168" s="94" t="s">
        <v>18</v>
      </c>
      <c r="B168" s="7" t="s">
        <v>97</v>
      </c>
      <c r="C168" s="56" t="s">
        <v>91</v>
      </c>
      <c r="D168" s="56" t="s">
        <v>94</v>
      </c>
      <c r="E168" s="56" t="s">
        <v>156</v>
      </c>
      <c r="F168" s="56" t="s">
        <v>181</v>
      </c>
      <c r="G168" s="23" t="s">
        <v>207</v>
      </c>
      <c r="H168" s="56" t="s">
        <v>5</v>
      </c>
      <c r="I168" s="57">
        <v>10</v>
      </c>
      <c r="J168" s="44">
        <v>500000000</v>
      </c>
      <c r="K168" s="44">
        <v>0</v>
      </c>
      <c r="L168" s="44">
        <v>0</v>
      </c>
      <c r="M168" s="44">
        <f t="shared" si="91"/>
        <v>500000000</v>
      </c>
      <c r="N168" s="44">
        <v>0</v>
      </c>
      <c r="O168" s="44">
        <v>349978405</v>
      </c>
      <c r="P168" s="27">
        <f t="shared" si="89"/>
        <v>150021595</v>
      </c>
      <c r="Q168" s="58">
        <v>349978405</v>
      </c>
      <c r="R168" s="25">
        <f t="shared" si="60"/>
        <v>0.69995680999999998</v>
      </c>
      <c r="S168" s="58">
        <v>0</v>
      </c>
      <c r="T168" s="59">
        <v>0</v>
      </c>
    </row>
    <row r="169" spans="1:20" ht="42.75" customHeight="1" x14ac:dyDescent="0.25">
      <c r="A169" s="95" t="s">
        <v>18</v>
      </c>
      <c r="B169" s="99" t="s">
        <v>97</v>
      </c>
      <c r="C169" s="99" t="s">
        <v>91</v>
      </c>
      <c r="D169" s="99" t="s">
        <v>95</v>
      </c>
      <c r="E169" s="99"/>
      <c r="F169" s="99"/>
      <c r="G169" s="12" t="s">
        <v>228</v>
      </c>
      <c r="H169" s="99" t="s">
        <v>5</v>
      </c>
      <c r="I169" s="100">
        <v>10</v>
      </c>
      <c r="J169" s="48">
        <f>J170+J171</f>
        <v>12782494000</v>
      </c>
      <c r="K169" s="48">
        <f t="shared" ref="K169:T169" si="93">K170+K171</f>
        <v>0</v>
      </c>
      <c r="L169" s="48">
        <f t="shared" si="93"/>
        <v>0</v>
      </c>
      <c r="M169" s="48">
        <f t="shared" si="93"/>
        <v>12782494000</v>
      </c>
      <c r="N169" s="48">
        <f t="shared" si="93"/>
        <v>0</v>
      </c>
      <c r="O169" s="48">
        <f t="shared" si="93"/>
        <v>10779369643</v>
      </c>
      <c r="P169" s="24">
        <f t="shared" si="93"/>
        <v>2003124357</v>
      </c>
      <c r="Q169" s="101">
        <f t="shared" si="93"/>
        <v>10397726346</v>
      </c>
      <c r="R169" s="26">
        <f t="shared" si="60"/>
        <v>0.81343487006526272</v>
      </c>
      <c r="S169" s="101">
        <f t="shared" si="93"/>
        <v>261091196.71000001</v>
      </c>
      <c r="T169" s="102">
        <f t="shared" si="93"/>
        <v>261091196.71000001</v>
      </c>
    </row>
    <row r="170" spans="1:20" ht="33" customHeight="1" x14ac:dyDescent="0.25">
      <c r="A170" s="94" t="s">
        <v>18</v>
      </c>
      <c r="B170" s="56" t="s">
        <v>97</v>
      </c>
      <c r="C170" s="56" t="s">
        <v>91</v>
      </c>
      <c r="D170" s="56" t="s">
        <v>95</v>
      </c>
      <c r="E170" s="56" t="s">
        <v>156</v>
      </c>
      <c r="F170" s="56" t="s">
        <v>178</v>
      </c>
      <c r="G170" s="23" t="s">
        <v>208</v>
      </c>
      <c r="H170" s="56" t="s">
        <v>5</v>
      </c>
      <c r="I170" s="57">
        <v>10</v>
      </c>
      <c r="J170" s="58">
        <v>390000000</v>
      </c>
      <c r="K170" s="58">
        <v>0</v>
      </c>
      <c r="L170" s="44">
        <v>0</v>
      </c>
      <c r="M170" s="44">
        <f t="shared" si="91"/>
        <v>390000000</v>
      </c>
      <c r="N170" s="44">
        <v>0</v>
      </c>
      <c r="O170" s="44">
        <v>27089084</v>
      </c>
      <c r="P170" s="27">
        <f t="shared" si="89"/>
        <v>362910916</v>
      </c>
      <c r="Q170" s="58">
        <v>8445787</v>
      </c>
      <c r="R170" s="25">
        <f t="shared" si="60"/>
        <v>2.1655864102564103E-2</v>
      </c>
      <c r="S170" s="58">
        <v>0</v>
      </c>
      <c r="T170" s="59">
        <v>0</v>
      </c>
    </row>
    <row r="171" spans="1:20" ht="47.25" customHeight="1" x14ac:dyDescent="0.25">
      <c r="A171" s="94" t="s">
        <v>18</v>
      </c>
      <c r="B171" s="56" t="s">
        <v>97</v>
      </c>
      <c r="C171" s="56" t="s">
        <v>91</v>
      </c>
      <c r="D171" s="56" t="s">
        <v>95</v>
      </c>
      <c r="E171" s="56" t="s">
        <v>156</v>
      </c>
      <c r="F171" s="56" t="s">
        <v>179</v>
      </c>
      <c r="G171" s="23" t="s">
        <v>209</v>
      </c>
      <c r="H171" s="56" t="s">
        <v>5</v>
      </c>
      <c r="I171" s="57">
        <v>10</v>
      </c>
      <c r="J171" s="58">
        <v>12392494000</v>
      </c>
      <c r="K171" s="58">
        <v>0</v>
      </c>
      <c r="L171" s="44">
        <v>0</v>
      </c>
      <c r="M171" s="44">
        <f t="shared" si="91"/>
        <v>12392494000</v>
      </c>
      <c r="N171" s="44">
        <v>0</v>
      </c>
      <c r="O171" s="44">
        <v>10752280559</v>
      </c>
      <c r="P171" s="27">
        <f t="shared" ref="P171" si="94">+M171-O171-N171</f>
        <v>1640213441</v>
      </c>
      <c r="Q171" s="58">
        <v>10389280559</v>
      </c>
      <c r="R171" s="25">
        <f t="shared" si="60"/>
        <v>0.83835268017882436</v>
      </c>
      <c r="S171" s="58">
        <v>261091196.71000001</v>
      </c>
      <c r="T171" s="59">
        <v>261091196.71000001</v>
      </c>
    </row>
    <row r="172" spans="1:20" ht="47.25" customHeight="1" x14ac:dyDescent="0.25">
      <c r="A172" s="95" t="s">
        <v>18</v>
      </c>
      <c r="B172" s="99" t="s">
        <v>97</v>
      </c>
      <c r="C172" s="99" t="s">
        <v>91</v>
      </c>
      <c r="D172" s="99" t="s">
        <v>96</v>
      </c>
      <c r="E172" s="99"/>
      <c r="F172" s="99"/>
      <c r="G172" s="12" t="s">
        <v>229</v>
      </c>
      <c r="H172" s="99" t="s">
        <v>5</v>
      </c>
      <c r="I172" s="100">
        <v>10</v>
      </c>
      <c r="J172" s="101">
        <f>J173+J174</f>
        <v>5000000000</v>
      </c>
      <c r="K172" s="101">
        <f t="shared" ref="K172:T172" si="95">K173+K174</f>
        <v>0</v>
      </c>
      <c r="L172" s="48">
        <f t="shared" si="95"/>
        <v>0</v>
      </c>
      <c r="M172" s="48">
        <f t="shared" si="95"/>
        <v>5000000000</v>
      </c>
      <c r="N172" s="48">
        <f t="shared" si="95"/>
        <v>0</v>
      </c>
      <c r="O172" s="48">
        <f t="shared" si="95"/>
        <v>4757889666.9699993</v>
      </c>
      <c r="P172" s="24">
        <f t="shared" si="95"/>
        <v>242110333.03000021</v>
      </c>
      <c r="Q172" s="101">
        <f t="shared" si="95"/>
        <v>3951725491.9699998</v>
      </c>
      <c r="R172" s="26">
        <f t="shared" si="60"/>
        <v>0.79034509839399991</v>
      </c>
      <c r="S172" s="101">
        <f t="shared" si="95"/>
        <v>111425844.19</v>
      </c>
      <c r="T172" s="102">
        <f t="shared" si="95"/>
        <v>111425844.19</v>
      </c>
    </row>
    <row r="173" spans="1:20" ht="41.25" customHeight="1" x14ac:dyDescent="0.25">
      <c r="A173" s="94" t="s">
        <v>18</v>
      </c>
      <c r="B173" s="56" t="s">
        <v>97</v>
      </c>
      <c r="C173" s="56" t="s">
        <v>91</v>
      </c>
      <c r="D173" s="56" t="s">
        <v>96</v>
      </c>
      <c r="E173" s="56" t="s">
        <v>156</v>
      </c>
      <c r="F173" s="56" t="s">
        <v>182</v>
      </c>
      <c r="G173" s="23" t="s">
        <v>210</v>
      </c>
      <c r="H173" s="56" t="s">
        <v>5</v>
      </c>
      <c r="I173" s="57">
        <v>10</v>
      </c>
      <c r="J173" s="58">
        <v>1100000000</v>
      </c>
      <c r="K173" s="58">
        <v>0</v>
      </c>
      <c r="L173" s="44">
        <v>0</v>
      </c>
      <c r="M173" s="44">
        <f t="shared" si="91"/>
        <v>1100000000</v>
      </c>
      <c r="N173" s="44">
        <v>0</v>
      </c>
      <c r="O173" s="44">
        <v>1019493214</v>
      </c>
      <c r="P173" s="27">
        <f t="shared" si="89"/>
        <v>80506786</v>
      </c>
      <c r="Q173" s="58">
        <v>431777289</v>
      </c>
      <c r="R173" s="25">
        <f t="shared" si="60"/>
        <v>0.39252480818181817</v>
      </c>
      <c r="S173" s="58">
        <v>103154680</v>
      </c>
      <c r="T173" s="59">
        <v>103154680</v>
      </c>
    </row>
    <row r="174" spans="1:20" ht="47.25" customHeight="1" x14ac:dyDescent="0.25">
      <c r="A174" s="94" t="s">
        <v>18</v>
      </c>
      <c r="B174" s="56" t="s">
        <v>97</v>
      </c>
      <c r="C174" s="56" t="s">
        <v>91</v>
      </c>
      <c r="D174" s="56" t="s">
        <v>96</v>
      </c>
      <c r="E174" s="56" t="s">
        <v>156</v>
      </c>
      <c r="F174" s="56" t="s">
        <v>179</v>
      </c>
      <c r="G174" s="23" t="s">
        <v>211</v>
      </c>
      <c r="H174" s="56" t="s">
        <v>5</v>
      </c>
      <c r="I174" s="57">
        <v>10</v>
      </c>
      <c r="J174" s="58">
        <v>3900000000</v>
      </c>
      <c r="K174" s="58">
        <v>0</v>
      </c>
      <c r="L174" s="44">
        <v>0</v>
      </c>
      <c r="M174" s="44">
        <f t="shared" si="91"/>
        <v>3900000000</v>
      </c>
      <c r="N174" s="44">
        <v>0</v>
      </c>
      <c r="O174" s="44">
        <v>3738396452.9699998</v>
      </c>
      <c r="P174" s="27">
        <f t="shared" ref="P174" si="96">+M174-O174-N174</f>
        <v>161603547.03000021</v>
      </c>
      <c r="Q174" s="58">
        <v>3519948202.9699998</v>
      </c>
      <c r="R174" s="25">
        <f t="shared" si="60"/>
        <v>0.90255082127435893</v>
      </c>
      <c r="S174" s="58">
        <v>8271164.1900000004</v>
      </c>
      <c r="T174" s="59">
        <v>8271164.1900000004</v>
      </c>
    </row>
    <row r="175" spans="1:20" ht="47.25" customHeight="1" x14ac:dyDescent="0.25">
      <c r="A175" s="95" t="s">
        <v>18</v>
      </c>
      <c r="B175" s="99" t="s">
        <v>97</v>
      </c>
      <c r="C175" s="99" t="s">
        <v>91</v>
      </c>
      <c r="D175" s="99" t="s">
        <v>98</v>
      </c>
      <c r="E175" s="99"/>
      <c r="F175" s="99"/>
      <c r="G175" s="12" t="s">
        <v>230</v>
      </c>
      <c r="H175" s="99" t="s">
        <v>5</v>
      </c>
      <c r="I175" s="100">
        <v>10</v>
      </c>
      <c r="J175" s="101">
        <f>J176</f>
        <v>70000000</v>
      </c>
      <c r="K175" s="101">
        <f t="shared" ref="K175:T175" si="97">K176</f>
        <v>0</v>
      </c>
      <c r="L175" s="48">
        <f t="shared" si="97"/>
        <v>0</v>
      </c>
      <c r="M175" s="48">
        <f t="shared" si="97"/>
        <v>70000000</v>
      </c>
      <c r="N175" s="48">
        <f t="shared" si="97"/>
        <v>86400</v>
      </c>
      <c r="O175" s="48">
        <f t="shared" si="97"/>
        <v>69913600</v>
      </c>
      <c r="P175" s="24">
        <f t="shared" si="97"/>
        <v>0</v>
      </c>
      <c r="Q175" s="101">
        <f t="shared" si="97"/>
        <v>69913600</v>
      </c>
      <c r="R175" s="26">
        <f t="shared" si="60"/>
        <v>1</v>
      </c>
      <c r="S175" s="101">
        <f t="shared" si="97"/>
        <v>41948160</v>
      </c>
      <c r="T175" s="102">
        <f t="shared" si="97"/>
        <v>41948160</v>
      </c>
    </row>
    <row r="176" spans="1:20" ht="39" customHeight="1" x14ac:dyDescent="0.25">
      <c r="A176" s="94" t="s">
        <v>18</v>
      </c>
      <c r="B176" s="56" t="s">
        <v>97</v>
      </c>
      <c r="C176" s="56" t="s">
        <v>91</v>
      </c>
      <c r="D176" s="56" t="s">
        <v>98</v>
      </c>
      <c r="E176" s="56" t="s">
        <v>156</v>
      </c>
      <c r="F176" s="56" t="s">
        <v>183</v>
      </c>
      <c r="G176" s="23" t="s">
        <v>212</v>
      </c>
      <c r="H176" s="56" t="s">
        <v>5</v>
      </c>
      <c r="I176" s="57">
        <v>10</v>
      </c>
      <c r="J176" s="58">
        <v>70000000</v>
      </c>
      <c r="K176" s="58">
        <v>0</v>
      </c>
      <c r="L176" s="44">
        <v>0</v>
      </c>
      <c r="M176" s="44">
        <f t="shared" si="91"/>
        <v>70000000</v>
      </c>
      <c r="N176" s="44">
        <v>86400</v>
      </c>
      <c r="O176" s="44">
        <v>69913600</v>
      </c>
      <c r="P176" s="27">
        <f t="shared" si="89"/>
        <v>0</v>
      </c>
      <c r="Q176" s="58">
        <v>69913600</v>
      </c>
      <c r="R176" s="25">
        <f t="shared" si="60"/>
        <v>1</v>
      </c>
      <c r="S176" s="58">
        <v>41948160</v>
      </c>
      <c r="T176" s="59">
        <v>41948160</v>
      </c>
    </row>
    <row r="177" spans="1:20" ht="39" customHeight="1" x14ac:dyDescent="0.25">
      <c r="A177" s="95" t="s">
        <v>18</v>
      </c>
      <c r="B177" s="99" t="s">
        <v>97</v>
      </c>
      <c r="C177" s="99" t="s">
        <v>91</v>
      </c>
      <c r="D177" s="99" t="s">
        <v>99</v>
      </c>
      <c r="E177" s="99"/>
      <c r="F177" s="99"/>
      <c r="G177" s="12" t="s">
        <v>231</v>
      </c>
      <c r="H177" s="99" t="s">
        <v>5</v>
      </c>
      <c r="I177" s="100">
        <v>10</v>
      </c>
      <c r="J177" s="101">
        <f>J178</f>
        <v>2566000000</v>
      </c>
      <c r="K177" s="101">
        <f t="shared" ref="K177:T177" si="98">K178</f>
        <v>0</v>
      </c>
      <c r="L177" s="48">
        <f t="shared" si="98"/>
        <v>0</v>
      </c>
      <c r="M177" s="48">
        <f t="shared" si="98"/>
        <v>2566000000</v>
      </c>
      <c r="N177" s="48">
        <f t="shared" si="98"/>
        <v>0</v>
      </c>
      <c r="O177" s="48">
        <f t="shared" si="98"/>
        <v>0</v>
      </c>
      <c r="P177" s="24">
        <f t="shared" si="98"/>
        <v>2566000000</v>
      </c>
      <c r="Q177" s="101">
        <f t="shared" si="98"/>
        <v>0</v>
      </c>
      <c r="R177" s="26">
        <f t="shared" si="60"/>
        <v>0</v>
      </c>
      <c r="S177" s="101">
        <f t="shared" si="98"/>
        <v>0</v>
      </c>
      <c r="T177" s="102">
        <f t="shared" si="98"/>
        <v>0</v>
      </c>
    </row>
    <row r="178" spans="1:20" ht="32.25" customHeight="1" x14ac:dyDescent="0.25">
      <c r="A178" s="94" t="s">
        <v>18</v>
      </c>
      <c r="B178" s="56" t="s">
        <v>97</v>
      </c>
      <c r="C178" s="56" t="s">
        <v>91</v>
      </c>
      <c r="D178" s="56" t="s">
        <v>99</v>
      </c>
      <c r="E178" s="56" t="s">
        <v>152</v>
      </c>
      <c r="F178" s="56" t="s">
        <v>184</v>
      </c>
      <c r="G178" s="23" t="s">
        <v>213</v>
      </c>
      <c r="H178" s="56" t="s">
        <v>5</v>
      </c>
      <c r="I178" s="57">
        <v>10</v>
      </c>
      <c r="J178" s="58">
        <v>2566000000</v>
      </c>
      <c r="K178" s="58">
        <v>0</v>
      </c>
      <c r="L178" s="44">
        <v>0</v>
      </c>
      <c r="M178" s="44">
        <f t="shared" si="91"/>
        <v>2566000000</v>
      </c>
      <c r="N178" s="44">
        <v>0</v>
      </c>
      <c r="O178" s="44">
        <v>0</v>
      </c>
      <c r="P178" s="27">
        <f t="shared" si="89"/>
        <v>2566000000</v>
      </c>
      <c r="Q178" s="58">
        <v>0</v>
      </c>
      <c r="R178" s="25">
        <f t="shared" si="60"/>
        <v>0</v>
      </c>
      <c r="S178" s="58">
        <v>0</v>
      </c>
      <c r="T178" s="59">
        <v>0</v>
      </c>
    </row>
    <row r="179" spans="1:20" s="103" customFormat="1" ht="32.25" customHeight="1" x14ac:dyDescent="0.25">
      <c r="A179" s="95" t="s">
        <v>18</v>
      </c>
      <c r="B179" s="99" t="s">
        <v>97</v>
      </c>
      <c r="C179" s="99" t="s">
        <v>91</v>
      </c>
      <c r="D179" s="99" t="s">
        <v>100</v>
      </c>
      <c r="E179" s="99"/>
      <c r="F179" s="99"/>
      <c r="G179" s="12" t="s">
        <v>232</v>
      </c>
      <c r="H179" s="99" t="s">
        <v>5</v>
      </c>
      <c r="I179" s="100">
        <v>10</v>
      </c>
      <c r="J179" s="101">
        <f>J180</f>
        <v>700000000</v>
      </c>
      <c r="K179" s="101">
        <f t="shared" ref="K179:T179" si="99">K180</f>
        <v>0</v>
      </c>
      <c r="L179" s="48">
        <f t="shared" si="99"/>
        <v>0</v>
      </c>
      <c r="M179" s="48">
        <f t="shared" si="99"/>
        <v>700000000</v>
      </c>
      <c r="N179" s="48">
        <f t="shared" si="99"/>
        <v>34526</v>
      </c>
      <c r="O179" s="48">
        <f t="shared" si="99"/>
        <v>699965474</v>
      </c>
      <c r="P179" s="24">
        <f t="shared" si="99"/>
        <v>0</v>
      </c>
      <c r="Q179" s="101">
        <f t="shared" si="99"/>
        <v>649965474</v>
      </c>
      <c r="R179" s="26">
        <f t="shared" si="60"/>
        <v>0.92856790533642808</v>
      </c>
      <c r="S179" s="101">
        <f t="shared" si="99"/>
        <v>107964871.28</v>
      </c>
      <c r="T179" s="102">
        <f t="shared" si="99"/>
        <v>107964871.28</v>
      </c>
    </row>
    <row r="180" spans="1:20" ht="44.25" customHeight="1" x14ac:dyDescent="0.25">
      <c r="A180" s="94" t="s">
        <v>18</v>
      </c>
      <c r="B180" s="56" t="s">
        <v>97</v>
      </c>
      <c r="C180" s="56" t="s">
        <v>91</v>
      </c>
      <c r="D180" s="56" t="s">
        <v>100</v>
      </c>
      <c r="E180" s="56" t="s">
        <v>156</v>
      </c>
      <c r="F180" s="56" t="s">
        <v>182</v>
      </c>
      <c r="G180" s="23" t="s">
        <v>214</v>
      </c>
      <c r="H180" s="56" t="s">
        <v>5</v>
      </c>
      <c r="I180" s="57">
        <v>10</v>
      </c>
      <c r="J180" s="58">
        <v>700000000</v>
      </c>
      <c r="K180" s="58">
        <v>0</v>
      </c>
      <c r="L180" s="44">
        <v>0</v>
      </c>
      <c r="M180" s="44">
        <f t="shared" si="91"/>
        <v>700000000</v>
      </c>
      <c r="N180" s="44">
        <v>34526</v>
      </c>
      <c r="O180" s="44">
        <v>699965474</v>
      </c>
      <c r="P180" s="27">
        <f t="shared" si="89"/>
        <v>0</v>
      </c>
      <c r="Q180" s="58">
        <v>649965474</v>
      </c>
      <c r="R180" s="25">
        <f t="shared" si="60"/>
        <v>0.92856790533642808</v>
      </c>
      <c r="S180" s="58">
        <v>107964871.28</v>
      </c>
      <c r="T180" s="59">
        <v>107964871.28</v>
      </c>
    </row>
    <row r="181" spans="1:20" ht="44.25" customHeight="1" x14ac:dyDescent="0.25">
      <c r="A181" s="95" t="s">
        <v>18</v>
      </c>
      <c r="B181" s="99" t="s">
        <v>97</v>
      </c>
      <c r="C181" s="11" t="s">
        <v>91</v>
      </c>
      <c r="D181" s="11" t="s">
        <v>101</v>
      </c>
      <c r="E181" s="99"/>
      <c r="F181" s="99"/>
      <c r="G181" s="12" t="s">
        <v>233</v>
      </c>
      <c r="H181" s="11" t="s">
        <v>5</v>
      </c>
      <c r="I181" s="13">
        <v>10</v>
      </c>
      <c r="J181" s="101">
        <f>J182</f>
        <v>4700774679</v>
      </c>
      <c r="K181" s="101">
        <f t="shared" ref="K181:T181" si="100">K182</f>
        <v>0</v>
      </c>
      <c r="L181" s="48">
        <f t="shared" si="100"/>
        <v>0</v>
      </c>
      <c r="M181" s="48">
        <f t="shared" si="100"/>
        <v>4700774679</v>
      </c>
      <c r="N181" s="48">
        <f t="shared" si="100"/>
        <v>0</v>
      </c>
      <c r="O181" s="48">
        <f t="shared" si="100"/>
        <v>2577512921.02</v>
      </c>
      <c r="P181" s="24">
        <f t="shared" si="100"/>
        <v>2123261757.98</v>
      </c>
      <c r="Q181" s="101">
        <f t="shared" si="100"/>
        <v>107421890.02</v>
      </c>
      <c r="R181" s="26">
        <f t="shared" si="60"/>
        <v>2.2851954700124438E-2</v>
      </c>
      <c r="S181" s="101">
        <f t="shared" si="100"/>
        <v>0</v>
      </c>
      <c r="T181" s="102">
        <f t="shared" si="100"/>
        <v>0</v>
      </c>
    </row>
    <row r="182" spans="1:20" ht="42" customHeight="1" x14ac:dyDescent="0.25">
      <c r="A182" s="94" t="s">
        <v>18</v>
      </c>
      <c r="B182" s="56" t="s">
        <v>97</v>
      </c>
      <c r="C182" s="7" t="s">
        <v>91</v>
      </c>
      <c r="D182" s="7" t="s">
        <v>101</v>
      </c>
      <c r="E182" s="7" t="s">
        <v>152</v>
      </c>
      <c r="F182" s="7" t="s">
        <v>182</v>
      </c>
      <c r="G182" s="23" t="s">
        <v>215</v>
      </c>
      <c r="H182" s="7" t="s">
        <v>5</v>
      </c>
      <c r="I182" s="8">
        <v>10</v>
      </c>
      <c r="J182" s="9">
        <v>4700774679</v>
      </c>
      <c r="K182" s="9">
        <v>0</v>
      </c>
      <c r="L182" s="27">
        <v>0</v>
      </c>
      <c r="M182" s="44">
        <f t="shared" si="91"/>
        <v>4700774679</v>
      </c>
      <c r="N182" s="27">
        <v>0</v>
      </c>
      <c r="O182" s="27">
        <v>2577512921.02</v>
      </c>
      <c r="P182" s="27">
        <f t="shared" si="89"/>
        <v>2123261757.98</v>
      </c>
      <c r="Q182" s="9">
        <v>107421890.02</v>
      </c>
      <c r="R182" s="25">
        <f t="shared" si="60"/>
        <v>2.2851954700124438E-2</v>
      </c>
      <c r="S182" s="9"/>
      <c r="T182" s="10">
        <v>0</v>
      </c>
    </row>
    <row r="183" spans="1:20" ht="42" customHeight="1" x14ac:dyDescent="0.25">
      <c r="A183" s="95" t="s">
        <v>18</v>
      </c>
      <c r="B183" s="99" t="s">
        <v>97</v>
      </c>
      <c r="C183" s="11" t="s">
        <v>91</v>
      </c>
      <c r="D183" s="11" t="s">
        <v>102</v>
      </c>
      <c r="E183" s="11"/>
      <c r="F183" s="11"/>
      <c r="G183" s="12" t="s">
        <v>234</v>
      </c>
      <c r="H183" s="11" t="s">
        <v>5</v>
      </c>
      <c r="I183" s="13">
        <v>10</v>
      </c>
      <c r="J183" s="14">
        <f>J184+J185</f>
        <v>500000000</v>
      </c>
      <c r="K183" s="14">
        <f t="shared" ref="K183:T183" si="101">K184+K185</f>
        <v>42991612</v>
      </c>
      <c r="L183" s="24">
        <f t="shared" si="101"/>
        <v>42991612</v>
      </c>
      <c r="M183" s="48">
        <f t="shared" si="101"/>
        <v>500000000</v>
      </c>
      <c r="N183" s="24">
        <f t="shared" si="101"/>
        <v>0</v>
      </c>
      <c r="O183" s="24">
        <f t="shared" si="101"/>
        <v>477828645</v>
      </c>
      <c r="P183" s="24">
        <f t="shared" si="101"/>
        <v>22171355</v>
      </c>
      <c r="Q183" s="14">
        <f t="shared" si="101"/>
        <v>405807001</v>
      </c>
      <c r="R183" s="26">
        <f t="shared" si="60"/>
        <v>0.811614002</v>
      </c>
      <c r="S183" s="14">
        <f t="shared" si="101"/>
        <v>39055346</v>
      </c>
      <c r="T183" s="22">
        <f t="shared" si="101"/>
        <v>39055346</v>
      </c>
    </row>
    <row r="184" spans="1:20" ht="39" customHeight="1" x14ac:dyDescent="0.25">
      <c r="A184" s="94" t="s">
        <v>18</v>
      </c>
      <c r="B184" s="56" t="s">
        <v>97</v>
      </c>
      <c r="C184" s="7" t="s">
        <v>91</v>
      </c>
      <c r="D184" s="7" t="s">
        <v>102</v>
      </c>
      <c r="E184" s="7" t="s">
        <v>156</v>
      </c>
      <c r="F184" s="7" t="s">
        <v>185</v>
      </c>
      <c r="G184" s="23" t="s">
        <v>216</v>
      </c>
      <c r="H184" s="7" t="s">
        <v>5</v>
      </c>
      <c r="I184" s="8">
        <v>10</v>
      </c>
      <c r="J184" s="9">
        <v>180000000</v>
      </c>
      <c r="K184" s="9">
        <v>0</v>
      </c>
      <c r="L184" s="27">
        <v>42991612</v>
      </c>
      <c r="M184" s="44">
        <f t="shared" si="91"/>
        <v>137008388</v>
      </c>
      <c r="N184" s="27">
        <v>0</v>
      </c>
      <c r="O184" s="27">
        <v>130211432</v>
      </c>
      <c r="P184" s="27">
        <f t="shared" si="89"/>
        <v>6796956</v>
      </c>
      <c r="Q184" s="9">
        <v>116389731</v>
      </c>
      <c r="R184" s="25">
        <f t="shared" si="60"/>
        <v>0.84950806807536483</v>
      </c>
      <c r="S184" s="9">
        <v>12093206</v>
      </c>
      <c r="T184" s="10">
        <v>12093206</v>
      </c>
    </row>
    <row r="185" spans="1:20" ht="39" customHeight="1" x14ac:dyDescent="0.25">
      <c r="A185" s="94" t="s">
        <v>18</v>
      </c>
      <c r="B185" s="56" t="s">
        <v>97</v>
      </c>
      <c r="C185" s="7" t="s">
        <v>91</v>
      </c>
      <c r="D185" s="7" t="s">
        <v>102</v>
      </c>
      <c r="E185" s="7" t="s">
        <v>156</v>
      </c>
      <c r="F185" s="7" t="s">
        <v>182</v>
      </c>
      <c r="G185" s="23" t="s">
        <v>217</v>
      </c>
      <c r="H185" s="7" t="s">
        <v>5</v>
      </c>
      <c r="I185" s="8">
        <v>10</v>
      </c>
      <c r="J185" s="9">
        <v>320000000</v>
      </c>
      <c r="K185" s="9">
        <v>42991612</v>
      </c>
      <c r="L185" s="27">
        <v>0</v>
      </c>
      <c r="M185" s="44">
        <f t="shared" si="91"/>
        <v>362991612</v>
      </c>
      <c r="N185" s="27">
        <v>0</v>
      </c>
      <c r="O185" s="27">
        <v>347617213</v>
      </c>
      <c r="P185" s="27">
        <f t="shared" ref="P185" si="102">+M185-O185-N185</f>
        <v>15374399</v>
      </c>
      <c r="Q185" s="9">
        <v>289417270</v>
      </c>
      <c r="R185" s="25">
        <f t="shared" si="60"/>
        <v>0.7973111786395769</v>
      </c>
      <c r="S185" s="9">
        <v>26962140</v>
      </c>
      <c r="T185" s="10">
        <v>26962140</v>
      </c>
    </row>
    <row r="186" spans="1:20" ht="39" customHeight="1" x14ac:dyDescent="0.25">
      <c r="A186" s="95" t="s">
        <v>18</v>
      </c>
      <c r="B186" s="11" t="s">
        <v>97</v>
      </c>
      <c r="C186" s="11" t="s">
        <v>91</v>
      </c>
      <c r="D186" s="11">
        <v>24</v>
      </c>
      <c r="E186" s="11"/>
      <c r="F186" s="11"/>
      <c r="G186" s="12" t="s">
        <v>235</v>
      </c>
      <c r="H186" s="11" t="s">
        <v>5</v>
      </c>
      <c r="I186" s="13">
        <v>10</v>
      </c>
      <c r="J186" s="14">
        <f>J187</f>
        <v>4397847000</v>
      </c>
      <c r="K186" s="14">
        <f t="shared" ref="K186:T186" si="103">K187</f>
        <v>0</v>
      </c>
      <c r="L186" s="24">
        <f t="shared" si="103"/>
        <v>0</v>
      </c>
      <c r="M186" s="48">
        <f t="shared" si="103"/>
        <v>4397847000</v>
      </c>
      <c r="N186" s="24">
        <f t="shared" si="103"/>
        <v>0</v>
      </c>
      <c r="O186" s="24">
        <f t="shared" si="103"/>
        <v>0</v>
      </c>
      <c r="P186" s="24">
        <f t="shared" si="103"/>
        <v>4397847000</v>
      </c>
      <c r="Q186" s="14">
        <f t="shared" si="103"/>
        <v>0</v>
      </c>
      <c r="R186" s="26">
        <f t="shared" si="60"/>
        <v>0</v>
      </c>
      <c r="S186" s="14">
        <f t="shared" si="103"/>
        <v>0</v>
      </c>
      <c r="T186" s="22">
        <f t="shared" si="103"/>
        <v>0</v>
      </c>
    </row>
    <row r="187" spans="1:20" ht="32.25" customHeight="1" x14ac:dyDescent="0.25">
      <c r="A187" s="94" t="s">
        <v>18</v>
      </c>
      <c r="B187" s="7" t="s">
        <v>97</v>
      </c>
      <c r="C187" s="7" t="s">
        <v>91</v>
      </c>
      <c r="D187" s="7">
        <v>24</v>
      </c>
      <c r="E187" s="7" t="s">
        <v>152</v>
      </c>
      <c r="F187" s="7" t="s">
        <v>180</v>
      </c>
      <c r="G187" s="23" t="s">
        <v>218</v>
      </c>
      <c r="H187" s="7" t="s">
        <v>5</v>
      </c>
      <c r="I187" s="8">
        <v>10</v>
      </c>
      <c r="J187" s="9">
        <v>4397847000</v>
      </c>
      <c r="K187" s="9">
        <v>0</v>
      </c>
      <c r="L187" s="27">
        <v>0</v>
      </c>
      <c r="M187" s="44">
        <f t="shared" si="91"/>
        <v>4397847000</v>
      </c>
      <c r="N187" s="27">
        <v>0</v>
      </c>
      <c r="O187" s="27">
        <v>0</v>
      </c>
      <c r="P187" s="27">
        <f t="shared" si="89"/>
        <v>4397847000</v>
      </c>
      <c r="Q187" s="9">
        <v>0</v>
      </c>
      <c r="R187" s="25">
        <f t="shared" si="60"/>
        <v>0</v>
      </c>
      <c r="S187" s="9">
        <v>0</v>
      </c>
      <c r="T187" s="10">
        <v>0</v>
      </c>
    </row>
    <row r="188" spans="1:20" ht="16.5" customHeight="1" x14ac:dyDescent="0.25">
      <c r="A188" s="81" t="s">
        <v>18</v>
      </c>
      <c r="B188" s="81"/>
      <c r="C188" s="81"/>
      <c r="D188" s="81"/>
      <c r="E188" s="81"/>
      <c r="F188" s="81"/>
      <c r="G188" s="82" t="s">
        <v>19</v>
      </c>
      <c r="H188" s="81" t="s">
        <v>5</v>
      </c>
      <c r="I188" s="83">
        <v>10</v>
      </c>
      <c r="J188" s="64">
        <f t="shared" ref="J188:T188" si="104">J124+J161</f>
        <v>80670115679</v>
      </c>
      <c r="K188" s="64">
        <f t="shared" si="104"/>
        <v>805953742</v>
      </c>
      <c r="L188" s="64">
        <f t="shared" si="104"/>
        <v>805953742</v>
      </c>
      <c r="M188" s="64">
        <f t="shared" si="104"/>
        <v>80670115679</v>
      </c>
      <c r="N188" s="3">
        <f t="shared" si="104"/>
        <v>7805059000</v>
      </c>
      <c r="O188" s="64">
        <f t="shared" si="104"/>
        <v>58436724280.350006</v>
      </c>
      <c r="P188" s="64">
        <f t="shared" si="104"/>
        <v>14428332398.65</v>
      </c>
      <c r="Q188" s="64">
        <f>Q124+Q161</f>
        <v>40454460457.619995</v>
      </c>
      <c r="R188" s="76">
        <f>IF(Q188&gt;1,Q188/(M188-N188),0)</f>
        <v>0.55519699429917735</v>
      </c>
      <c r="S188" s="64">
        <f t="shared" si="104"/>
        <v>1487349678.9400001</v>
      </c>
      <c r="T188" s="73">
        <f t="shared" si="104"/>
        <v>1487349678.9400001</v>
      </c>
    </row>
    <row r="189" spans="1:20" ht="16.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5</v>
      </c>
      <c r="I189" s="83">
        <v>11</v>
      </c>
      <c r="J189" s="64">
        <f t="shared" ref="J189:Q190" si="105">J125</f>
        <v>9015000000</v>
      </c>
      <c r="K189" s="64">
        <f t="shared" si="105"/>
        <v>0</v>
      </c>
      <c r="L189" s="64">
        <f t="shared" si="105"/>
        <v>0</v>
      </c>
      <c r="M189" s="64">
        <f t="shared" si="105"/>
        <v>9015000000</v>
      </c>
      <c r="N189" s="3">
        <f t="shared" si="105"/>
        <v>0</v>
      </c>
      <c r="O189" s="64">
        <f>O125</f>
        <v>8994646622.6800003</v>
      </c>
      <c r="P189" s="64">
        <f t="shared" si="105"/>
        <v>20353377.320000172</v>
      </c>
      <c r="Q189" s="64">
        <f>Q125</f>
        <v>3840588777.6800003</v>
      </c>
      <c r="R189" s="76">
        <f t="shared" ref="R189:R193" si="106">IF(Q189&gt;1,Q189/(M189-N189),0)</f>
        <v>0.4260220496594565</v>
      </c>
      <c r="S189" s="64">
        <f t="shared" ref="S189:T189" si="107">S125</f>
        <v>0</v>
      </c>
      <c r="T189" s="73">
        <f t="shared" si="107"/>
        <v>0</v>
      </c>
    </row>
    <row r="190" spans="1:20" ht="16.5" customHeight="1" x14ac:dyDescent="0.25">
      <c r="A190" s="81" t="s">
        <v>18</v>
      </c>
      <c r="B190" s="81"/>
      <c r="C190" s="81"/>
      <c r="D190" s="81"/>
      <c r="E190" s="81"/>
      <c r="F190" s="81"/>
      <c r="G190" s="82" t="s">
        <v>19</v>
      </c>
      <c r="H190" s="81" t="s">
        <v>8</v>
      </c>
      <c r="I190" s="83">
        <v>20</v>
      </c>
      <c r="J190" s="64">
        <f t="shared" si="105"/>
        <v>4000000000</v>
      </c>
      <c r="K190" s="64">
        <f t="shared" si="105"/>
        <v>0</v>
      </c>
      <c r="L190" s="64">
        <f t="shared" si="105"/>
        <v>0</v>
      </c>
      <c r="M190" s="64">
        <f t="shared" si="105"/>
        <v>4000000000</v>
      </c>
      <c r="N190" s="3">
        <f t="shared" si="105"/>
        <v>0</v>
      </c>
      <c r="O190" s="64">
        <f t="shared" si="105"/>
        <v>0</v>
      </c>
      <c r="P190" s="64">
        <f t="shared" si="105"/>
        <v>4000000000</v>
      </c>
      <c r="Q190" s="64">
        <f t="shared" si="105"/>
        <v>0</v>
      </c>
      <c r="R190" s="76">
        <f t="shared" si="106"/>
        <v>0</v>
      </c>
      <c r="S190" s="64">
        <f>S126</f>
        <v>0</v>
      </c>
      <c r="T190" s="73">
        <f>T126</f>
        <v>0</v>
      </c>
    </row>
    <row r="191" spans="1:20" ht="15" customHeight="1" x14ac:dyDescent="0.25">
      <c r="A191" s="81" t="s">
        <v>18</v>
      </c>
      <c r="B191" s="81"/>
      <c r="C191" s="81"/>
      <c r="D191" s="81"/>
      <c r="E191" s="81"/>
      <c r="F191" s="81"/>
      <c r="G191" s="82" t="s">
        <v>19</v>
      </c>
      <c r="H191" s="81" t="s">
        <v>8</v>
      </c>
      <c r="I191" s="83">
        <v>21</v>
      </c>
      <c r="J191" s="64">
        <f>J127</f>
        <v>2908160000</v>
      </c>
      <c r="K191" s="64">
        <f>K127</f>
        <v>0</v>
      </c>
      <c r="L191" s="64">
        <f>L127</f>
        <v>0</v>
      </c>
      <c r="M191" s="64">
        <f>M127</f>
        <v>2908160000</v>
      </c>
      <c r="N191" s="3">
        <v>0</v>
      </c>
      <c r="O191" s="64">
        <f>O127</f>
        <v>2824473284.0999999</v>
      </c>
      <c r="P191" s="64">
        <f>P127</f>
        <v>83686715.900000095</v>
      </c>
      <c r="Q191" s="64">
        <f>Q127</f>
        <v>2755725989.0999999</v>
      </c>
      <c r="R191" s="76">
        <f t="shared" si="106"/>
        <v>0.9475840356445312</v>
      </c>
      <c r="S191" s="64">
        <f>S127</f>
        <v>368366896.10000002</v>
      </c>
      <c r="T191" s="73">
        <f>T127</f>
        <v>368366896.10000002</v>
      </c>
    </row>
    <row r="192" spans="1:20" s="5" customFormat="1" ht="13.5" customHeight="1" thickBot="1" x14ac:dyDescent="0.25">
      <c r="A192" s="117" t="s">
        <v>29</v>
      </c>
      <c r="B192" s="118"/>
      <c r="C192" s="118"/>
      <c r="D192" s="118"/>
      <c r="E192" s="118"/>
      <c r="F192" s="118"/>
      <c r="G192" s="118"/>
      <c r="H192" s="118"/>
      <c r="I192" s="119"/>
      <c r="J192" s="40">
        <f>SUM(J188:J191)</f>
        <v>96593275679</v>
      </c>
      <c r="K192" s="40">
        <f t="shared" ref="K192:L192" si="108">SUM(K188:K191)</f>
        <v>805953742</v>
      </c>
      <c r="L192" s="40">
        <f t="shared" si="108"/>
        <v>805953742</v>
      </c>
      <c r="M192" s="40">
        <f>SUM(M188:M191)</f>
        <v>96593275679</v>
      </c>
      <c r="N192" s="40">
        <f>SUM(N188:N191)</f>
        <v>7805059000</v>
      </c>
      <c r="O192" s="40">
        <f>SUM(O188:O191)</f>
        <v>70255844187.130005</v>
      </c>
      <c r="P192" s="40">
        <f>SUM(P188:P191)</f>
        <v>18532372491.870003</v>
      </c>
      <c r="Q192" s="40">
        <f>SUM(Q188:Q191)</f>
        <v>47050775224.399994</v>
      </c>
      <c r="R192" s="42">
        <f>IF(Q192&gt;1,Q192/(M192-N192),0)</f>
        <v>0.52992139029556995</v>
      </c>
      <c r="S192" s="40">
        <f>SUM(S188:S191)</f>
        <v>1855716575.04</v>
      </c>
      <c r="T192" s="53">
        <f>SUM(T188:T191)</f>
        <v>1855716575.04</v>
      </c>
    </row>
    <row r="193" spans="1:20" s="15" customFormat="1" ht="11.25" customHeight="1" thickBot="1" x14ac:dyDescent="0.3">
      <c r="A193" s="117" t="s">
        <v>30</v>
      </c>
      <c r="B193" s="118"/>
      <c r="C193" s="118"/>
      <c r="D193" s="118"/>
      <c r="E193" s="118"/>
      <c r="F193" s="118"/>
      <c r="G193" s="118"/>
      <c r="H193" s="118"/>
      <c r="I193" s="118"/>
      <c r="J193" s="80">
        <f t="shared" ref="J193:Q193" si="109">+J192+J122</f>
        <v>430691975679</v>
      </c>
      <c r="K193" s="80">
        <f>+K192+K122</f>
        <v>9953494619.6700001</v>
      </c>
      <c r="L193" s="80">
        <f>+L192+L122</f>
        <v>9953494619.6700001</v>
      </c>
      <c r="M193" s="80">
        <f t="shared" si="109"/>
        <v>430691975679</v>
      </c>
      <c r="N193" s="79">
        <f t="shared" si="109"/>
        <v>23920000000</v>
      </c>
      <c r="O193" s="40">
        <f t="shared" si="109"/>
        <v>265130945645.04999</v>
      </c>
      <c r="P193" s="40">
        <f t="shared" si="109"/>
        <v>141641030033.95001</v>
      </c>
      <c r="Q193" s="40">
        <f t="shared" si="109"/>
        <v>235202016685.16</v>
      </c>
      <c r="R193" s="42">
        <f t="shared" si="106"/>
        <v>0.57821588198781737</v>
      </c>
      <c r="S193" s="40">
        <f>+S192+S122</f>
        <v>173328060750.75</v>
      </c>
      <c r="T193" s="53">
        <f>+T192+T122</f>
        <v>173318811343.75</v>
      </c>
    </row>
    <row r="194" spans="1:20" s="15" customFormat="1" ht="9" customHeight="1" x14ac:dyDescent="0.25">
      <c r="A194" s="15" t="s">
        <v>32</v>
      </c>
      <c r="E194" s="16"/>
      <c r="F194" s="17"/>
      <c r="G194" s="18"/>
      <c r="H194" s="19"/>
      <c r="I194" s="20"/>
      <c r="J194" s="20">
        <f>J193-[1]REP_EPG034_EjecucionPresupuesta!$S$39</f>
        <v>0</v>
      </c>
      <c r="K194" s="20"/>
      <c r="L194" s="20"/>
      <c r="M194" s="105"/>
      <c r="N194" s="60"/>
      <c r="O194" s="45"/>
      <c r="P194" s="21"/>
      <c r="Q194" s="30"/>
      <c r="R194" s="21"/>
      <c r="S194" s="66"/>
      <c r="T194" s="66"/>
    </row>
    <row r="195" spans="1:20" s="15" customFormat="1" ht="9" customHeight="1" x14ac:dyDescent="0.25">
      <c r="A195" s="15" t="s">
        <v>248</v>
      </c>
      <c r="E195" s="16"/>
      <c r="F195" s="17"/>
      <c r="G195" s="18"/>
      <c r="H195" s="19"/>
      <c r="I195" s="20"/>
      <c r="J195" s="20"/>
      <c r="K195" s="20"/>
      <c r="L195" s="20"/>
      <c r="N195" s="66"/>
      <c r="O195" s="28"/>
      <c r="P195" s="21"/>
      <c r="Q195" s="31"/>
      <c r="R195" s="21"/>
    </row>
    <row r="196" spans="1:20" s="15" customFormat="1" ht="9" customHeight="1" x14ac:dyDescent="0.25">
      <c r="A196" s="15" t="s">
        <v>245</v>
      </c>
      <c r="E196" s="16"/>
      <c r="F196" s="17"/>
      <c r="G196" s="18"/>
      <c r="H196" s="19"/>
      <c r="I196" s="20"/>
      <c r="J196" s="20"/>
      <c r="K196" s="20"/>
      <c r="L196" s="20"/>
      <c r="O196" s="67"/>
      <c r="P196" s="21"/>
      <c r="Q196" s="31"/>
      <c r="R196" s="21"/>
    </row>
    <row r="197" spans="1:20" x14ac:dyDescent="0.25">
      <c r="A197" s="15" t="s">
        <v>249</v>
      </c>
      <c r="B197" s="15"/>
      <c r="C197" s="15"/>
      <c r="D197" s="15"/>
      <c r="E197" s="16"/>
      <c r="F197" s="17"/>
      <c r="G197" s="18"/>
      <c r="H197" s="19"/>
      <c r="I197" s="20"/>
      <c r="J197" s="20"/>
      <c r="K197" s="20"/>
      <c r="L197" s="20"/>
      <c r="M197" s="15"/>
      <c r="N197" s="15"/>
      <c r="O197" s="28"/>
      <c r="P197" s="21"/>
      <c r="Q197" s="31"/>
      <c r="R197" s="21"/>
      <c r="S197" s="15"/>
      <c r="T197" s="15"/>
    </row>
  </sheetData>
  <mergeCells count="13">
    <mergeCell ref="A2:T2"/>
    <mergeCell ref="A1:F1"/>
    <mergeCell ref="A123:T123"/>
    <mergeCell ref="A192:I192"/>
    <mergeCell ref="A193:I193"/>
    <mergeCell ref="A34:I34"/>
    <mergeCell ref="A35:T35"/>
    <mergeCell ref="A91:I91"/>
    <mergeCell ref="A92:T92"/>
    <mergeCell ref="A117:I117"/>
    <mergeCell ref="A122:I122"/>
    <mergeCell ref="A106:T106"/>
    <mergeCell ref="A105:I10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JULIO-31-2024
&amp;R
Página &amp;P de &amp;N</oddHeader>
  </headerFooter>
  <ignoredErrors>
    <ignoredError sqref="N51:N56 P100 N23:N31 F115 H115:I115 C33:I33 Q33 G23:I26 H27:I27 G28:I31 H51:I52 H54:I56 C18:D18 C19:E26 C3:E4 I4 C44:I45 C102:F102 C36 C5:F17 C27:F32 M89:O89 N97:Q99 M91:Q91 P114 N114 M108:Q108 M107 P110 M109:O109 M112:O113 C103 Q109 S90:T91 S96:T99 S105:T105 S112:T113 S107:T109 O107:Q107 Q96 P93:Q93 B3:B33 B107:E116 Q112:Q113 I64:I70 B96:B104 F103 H103 B93:I94 N93 S93:T93 C104:I104 N105:Q105 N33:O34 B95:E95 S33:T34 F107:I114 C96:I101 C88:I90 B170:E170 E173 B184:E184 B185:D185 B157:F160 B187:F187 B173:D174 N90:Q90 B161:E161 E164:F164 B166:F166 E168:F168 B171:D171 F170:F171 F173:F174 B182:F182 F184:F185 B156:C156 B162:D165 B167:D169 B172:L172 B175:L175 B176:M176 B177:L181 B183:D183 B186:C186 N172:O172 N175:O175 C72:F87 B72:B90 I72:I87 B71:I71 B49:F61 I57:I61 B62:I63 B64:F70 C37:F43 C46:F46 B36:B47 C47:D47 E47:F47 B48:D48 E48:F48" numberStoredAsText="1"/>
    <ignoredError sqref="M18:N18 R3:R4 R18 R26 R36 R44:R46 R88 R100:R102 R115:R117 R190:R191 N116 P26 P18 P102 M26 M99 M102 M156:P156 J162:L162 M165:P165 P172 M183:P183 M186:P186 R33:R34 M130:P130 M152:P152 P132 M132 P129 M129 R119:R121 A118:R118 A151:A152 A149:A150 G149:N150 A130 A129 G129:L129 A132 A131 G131:M131 A136:A138 A133:A135 G135:N135 A142 A139:A141 G139:N141 A146:A148 A143:A145 G145:K145 A153:A155 G155:M155 A128 E128:T128 E130:L130 E132:F132 E136:T138 G147:T147 G151:N151 A122:T124 A119:Q121 S119:T121 N129 R129 N132:O132 Q132:T132 H152:L152 Q152:T152 Q130:T130 R156 R161:R163 R165:R169 R172 R175:R181 R183 R186 R188 R107 R109 H132:L132 E142:T142 H153:K153 P135 P140 P145 P149 G148:N148 R148 P151 P155 P153 M164 P164 M182:N182 P182 R131:T131 P133 R133 P139 R139:T139 P143 R143 R151 G133:K133 M133:N133 G134:J134 L134:N134 M153 G154:J154 L154:M154 G143:J143 L143:N143 G144:K144 M144:N144 M145:N145 M167:P167 M166 P166 P134 R134 P154 R154 A127:F127 A125:F125 H125:T125 A126:F126 H126:T126 H127:T127 P131 R135 P141 R141:T141 P144 R144 P150 R150 N162:O162 G146:O146 Q146:T146 M169:P169 M168:N168 P168 R140:T140 R145 R149 R155 R153 R193" formula="1"/>
    <ignoredError sqref="P112:P113 P109 R89:R91 R98:R99 R103:R105 N107 P96 R93:R94 R111:R114 M180 M181:P181 M178:N178 M179:P179 M177:P177 M172 P175:P176 M175 B151:F152 B146:F148 B136:D138 B132:D132 B130:D130 B128:D128 B153:F155 B143:F145 B139:F141 B133:F135 B131:F131 B129:F129 B149:F150 R108 B142:D142 P178 P180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JULIO-31-2024</vt:lpstr>
      <vt:lpstr>'JULIO-31-2024'!Área_de_impresión</vt:lpstr>
      <vt:lpstr>'JULIO-31-2024'!Títulos_a_imprimir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2024-08-05T20:13:47Z</cp:lastPrinted>
  <dcterms:created xsi:type="dcterms:W3CDTF">2016-02-01T15:56:25Z</dcterms:created>
  <dcterms:modified xsi:type="dcterms:W3CDTF">2024-08-05T20:19:35Z</dcterms:modified>
</cp:coreProperties>
</file>