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Diciembre/"/>
    </mc:Choice>
  </mc:AlternateContent>
  <xr:revisionPtr revIDLastSave="5" documentId="8_{28C3FE53-9DF8-4137-80F6-D9B5E9F91612}" xr6:coauthVersionLast="47" xr6:coauthVersionMax="47" xr10:uidLastSave="{CF6A7829-2623-482E-940D-272A2D1AF24E}"/>
  <bookViews>
    <workbookView xWindow="-120" yWindow="-120" windowWidth="29040" windowHeight="15720" xr2:uid="{00000000-000D-0000-FFFF-FFFF00000000}"/>
  </bookViews>
  <sheets>
    <sheet name="DICIEMBRE 31-2024" sheetId="11" r:id="rId1"/>
  </sheets>
  <definedNames>
    <definedName name="_xlnm._FilterDatabase" localSheetId="0" hidden="1">'DICIEMBRE 31-2024'!$A$1:$U$194</definedName>
    <definedName name="_xlnm.Print_Area" localSheetId="0">'DICIEMBRE 31-2024'!$A$1:$T$200</definedName>
    <definedName name="_xlnm.Print_Titles" localSheetId="0">'DICIEMBRE 31-2024'!$1:$1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1" i="11" l="1"/>
  <c r="R47" i="11"/>
  <c r="L83" i="11"/>
  <c r="K69" i="11"/>
  <c r="L69" i="11"/>
  <c r="L68" i="11"/>
  <c r="M115" i="11"/>
  <c r="M112" i="11"/>
  <c r="M111" i="11"/>
  <c r="P111" i="11" s="1"/>
  <c r="M130" i="11"/>
  <c r="M129" i="11" s="1"/>
  <c r="L110" i="11"/>
  <c r="L81" i="11" l="1"/>
  <c r="L40" i="11"/>
  <c r="L132" i="11"/>
  <c r="L154" i="11"/>
  <c r="L159" i="11"/>
  <c r="L161" i="11"/>
  <c r="L167" i="11"/>
  <c r="K88" i="11" l="1"/>
  <c r="L37" i="11"/>
  <c r="L74" i="11"/>
  <c r="K70" i="11"/>
  <c r="L55" i="11"/>
  <c r="L62" i="11"/>
  <c r="K67" i="11"/>
  <c r="L67" i="11"/>
  <c r="K86" i="11"/>
  <c r="K82" i="11"/>
  <c r="L82" i="11"/>
  <c r="K74" i="11"/>
  <c r="L51" i="11"/>
  <c r="L52" i="11"/>
  <c r="K43" i="11"/>
  <c r="L43" i="11"/>
  <c r="L42" i="11"/>
  <c r="L70" i="11"/>
  <c r="L23" i="11"/>
  <c r="K20" i="11"/>
  <c r="L84" i="11"/>
  <c r="L88" i="11"/>
  <c r="L86" i="11"/>
  <c r="K68" i="11"/>
  <c r="K62" i="11"/>
  <c r="K50" i="11"/>
  <c r="K51" i="11"/>
  <c r="K39" i="11"/>
  <c r="L78" i="11"/>
  <c r="K77" i="11"/>
  <c r="L77" i="11"/>
  <c r="L58" i="11"/>
  <c r="L57" i="11"/>
  <c r="L38" i="11"/>
  <c r="K30" i="11"/>
  <c r="K29" i="11"/>
  <c r="L27" i="11"/>
  <c r="K25" i="11"/>
  <c r="K22" i="11"/>
  <c r="K21" i="11"/>
  <c r="K19" i="11"/>
  <c r="K11" i="11"/>
  <c r="L87" i="11"/>
  <c r="L60" i="11"/>
  <c r="L50" i="11"/>
  <c r="T44" i="11"/>
  <c r="S44" i="11"/>
  <c r="Q44" i="11"/>
  <c r="O44" i="11"/>
  <c r="N44" i="11"/>
  <c r="M48" i="11"/>
  <c r="L149" i="11"/>
  <c r="L147" i="11" s="1"/>
  <c r="L85" i="11"/>
  <c r="L47" i="11"/>
  <c r="L39" i="11"/>
  <c r="K38" i="11"/>
  <c r="K37" i="11"/>
  <c r="K58" i="11"/>
  <c r="R48" i="11" l="1"/>
  <c r="P48" i="11"/>
  <c r="O182" i="11"/>
  <c r="K81" i="11" l="1"/>
  <c r="K61" i="11"/>
  <c r="M61" i="11" s="1"/>
  <c r="L41" i="11"/>
  <c r="K83" i="11" l="1"/>
  <c r="L80" i="11"/>
  <c r="L66" i="11" l="1"/>
  <c r="K65" i="11"/>
  <c r="K40" i="11"/>
  <c r="K66" i="11"/>
  <c r="L63" i="11"/>
  <c r="K59" i="11"/>
  <c r="K56" i="11"/>
  <c r="L54" i="11"/>
  <c r="L53" i="11"/>
  <c r="K52" i="11"/>
  <c r="L186" i="11"/>
  <c r="L184" i="11" s="1"/>
  <c r="K185" i="11"/>
  <c r="L59" i="11"/>
  <c r="L56" i="11"/>
  <c r="K60" i="11"/>
  <c r="K57" i="11"/>
  <c r="K84" i="11"/>
  <c r="O147" i="11"/>
  <c r="M149" i="11"/>
  <c r="M150" i="11"/>
  <c r="P150" i="11" s="1"/>
  <c r="S131" i="11"/>
  <c r="T131" i="11"/>
  <c r="M147" i="11" l="1"/>
  <c r="M126" i="11"/>
  <c r="P149" i="11"/>
  <c r="P147" i="11" s="1"/>
  <c r="P126" i="11" s="1"/>
  <c r="M84" i="11"/>
  <c r="L65" i="11"/>
  <c r="K28" i="11"/>
  <c r="K78" i="11"/>
  <c r="K80" i="11" l="1"/>
  <c r="K55" i="11"/>
  <c r="K71" i="11"/>
  <c r="L49" i="11"/>
  <c r="L64" i="11"/>
  <c r="K54" i="11"/>
  <c r="K63" i="11"/>
  <c r="J103" i="11"/>
  <c r="J100" i="11"/>
  <c r="J95" i="11"/>
  <c r="J94" i="11" s="1"/>
  <c r="L44" i="11" l="1"/>
  <c r="K87" i="11"/>
  <c r="M87" i="11" s="1"/>
  <c r="M81" i="11"/>
  <c r="M40" i="11"/>
  <c r="M83" i="11"/>
  <c r="M60" i="11" l="1"/>
  <c r="P60" i="11" s="1"/>
  <c r="M69" i="11"/>
  <c r="P69" i="11" s="1"/>
  <c r="M70" i="11"/>
  <c r="M71" i="11"/>
  <c r="M59" i="11" l="1"/>
  <c r="M47" i="11"/>
  <c r="M49" i="11"/>
  <c r="M50" i="11"/>
  <c r="M51" i="11"/>
  <c r="M52" i="11"/>
  <c r="M54" i="11"/>
  <c r="M55" i="11"/>
  <c r="M56" i="11"/>
  <c r="M57" i="11"/>
  <c r="M62" i="11"/>
  <c r="M63" i="11"/>
  <c r="M65" i="11"/>
  <c r="M66" i="11"/>
  <c r="M68" i="11"/>
  <c r="M73" i="11"/>
  <c r="M74" i="11"/>
  <c r="M75" i="11"/>
  <c r="M76" i="11"/>
  <c r="M77" i="11"/>
  <c r="M78" i="11"/>
  <c r="P78" i="11" s="1"/>
  <c r="M79" i="11"/>
  <c r="P79" i="11" s="1"/>
  <c r="M80" i="11"/>
  <c r="M82" i="11"/>
  <c r="M86" i="11"/>
  <c r="M88" i="11"/>
  <c r="P80" i="11" l="1"/>
  <c r="R80" i="11"/>
  <c r="K53" i="11"/>
  <c r="J58" i="11"/>
  <c r="M58" i="11" s="1"/>
  <c r="M67" i="11"/>
  <c r="M53" i="11" l="1"/>
  <c r="T36" i="11" l="1"/>
  <c r="S36" i="11"/>
  <c r="K36" i="11"/>
  <c r="N36" i="11"/>
  <c r="O36" i="11"/>
  <c r="Q36" i="11"/>
  <c r="Q89" i="11" s="1"/>
  <c r="J36" i="11"/>
  <c r="P63" i="11"/>
  <c r="P47" i="11"/>
  <c r="J44" i="11"/>
  <c r="M41" i="11"/>
  <c r="P41" i="11" s="1"/>
  <c r="R41" i="11"/>
  <c r="K85" i="11"/>
  <c r="S164" i="11"/>
  <c r="R63" i="11"/>
  <c r="K64" i="11"/>
  <c r="M64" i="11" s="1"/>
  <c r="R64" i="11" s="1"/>
  <c r="R97" i="11"/>
  <c r="J99" i="11"/>
  <c r="J98" i="11" s="1"/>
  <c r="J105" i="11" s="1"/>
  <c r="J106" i="11" s="1"/>
  <c r="T26" i="11"/>
  <c r="T18" i="11"/>
  <c r="T4" i="11"/>
  <c r="M85" i="11" l="1"/>
  <c r="K44" i="11"/>
  <c r="M44" i="11"/>
  <c r="R44" i="11" s="1"/>
  <c r="S89" i="11"/>
  <c r="P64" i="11"/>
  <c r="T3" i="11"/>
  <c r="M5" i="11" l="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P51" i="11"/>
  <c r="P72" i="11"/>
  <c r="R72" i="11"/>
  <c r="M37" i="11"/>
  <c r="M38" i="11"/>
  <c r="P40" i="11"/>
  <c r="M42" i="11"/>
  <c r="P42" i="11" s="1"/>
  <c r="M43" i="11"/>
  <c r="J45" i="11"/>
  <c r="J133" i="11"/>
  <c r="J147" i="11"/>
  <c r="J126" i="11" s="1"/>
  <c r="J148" i="11"/>
  <c r="R188" i="11"/>
  <c r="R167" i="11"/>
  <c r="R156" i="11"/>
  <c r="R154" i="11"/>
  <c r="R149" i="11"/>
  <c r="R146" i="11"/>
  <c r="R141" i="11"/>
  <c r="J157" i="11"/>
  <c r="J153" i="11"/>
  <c r="T148" i="11"/>
  <c r="S148" i="11"/>
  <c r="Q148" i="11"/>
  <c r="O148" i="11"/>
  <c r="N148" i="11"/>
  <c r="L148" i="11"/>
  <c r="K148" i="11"/>
  <c r="T147" i="11"/>
  <c r="T126" i="11" s="1"/>
  <c r="T190" i="11" s="1"/>
  <c r="S147" i="11"/>
  <c r="S126" i="11" s="1"/>
  <c r="S190" i="11" s="1"/>
  <c r="Q147" i="11"/>
  <c r="Q126" i="11" s="1"/>
  <c r="O126" i="11"/>
  <c r="O190" i="11" s="1"/>
  <c r="N147" i="11"/>
  <c r="N126" i="11" s="1"/>
  <c r="L126" i="11"/>
  <c r="K126" i="11"/>
  <c r="T187" i="11"/>
  <c r="S187" i="11"/>
  <c r="Q187" i="11"/>
  <c r="R187" i="11" s="1"/>
  <c r="O187" i="11"/>
  <c r="N187" i="11"/>
  <c r="L187" i="11"/>
  <c r="K187" i="11"/>
  <c r="J187" i="11"/>
  <c r="T184" i="11"/>
  <c r="S184" i="11"/>
  <c r="Q184" i="11"/>
  <c r="O184" i="11"/>
  <c r="N184" i="11"/>
  <c r="K184" i="11"/>
  <c r="J184" i="11"/>
  <c r="T182" i="11"/>
  <c r="S182" i="11"/>
  <c r="Q182" i="11"/>
  <c r="N182" i="11"/>
  <c r="L182" i="11"/>
  <c r="K182" i="11"/>
  <c r="J182" i="11"/>
  <c r="T180" i="11"/>
  <c r="S180" i="11"/>
  <c r="Q180" i="11"/>
  <c r="O180" i="11"/>
  <c r="N180" i="11"/>
  <c r="L180" i="11"/>
  <c r="K180" i="11"/>
  <c r="J180" i="11"/>
  <c r="T178" i="11"/>
  <c r="S178" i="11"/>
  <c r="Q178" i="11"/>
  <c r="O178" i="11"/>
  <c r="N178" i="11"/>
  <c r="L178" i="11"/>
  <c r="K178" i="11"/>
  <c r="J178" i="11"/>
  <c r="T176" i="11"/>
  <c r="S176" i="11"/>
  <c r="Q176" i="11"/>
  <c r="O176" i="11"/>
  <c r="N176" i="11"/>
  <c r="L176" i="11"/>
  <c r="K176" i="11"/>
  <c r="J176" i="11"/>
  <c r="T173" i="11"/>
  <c r="S173" i="11"/>
  <c r="Q173" i="11"/>
  <c r="O173" i="11"/>
  <c r="N173" i="11"/>
  <c r="L173" i="11"/>
  <c r="K173" i="11"/>
  <c r="J173" i="11"/>
  <c r="T170" i="11"/>
  <c r="S170" i="11"/>
  <c r="Q170" i="11"/>
  <c r="O170" i="11"/>
  <c r="N170" i="11"/>
  <c r="L170" i="11"/>
  <c r="K170" i="11"/>
  <c r="J170" i="11"/>
  <c r="T168" i="11"/>
  <c r="S168" i="11"/>
  <c r="Q168" i="11"/>
  <c r="O168" i="11"/>
  <c r="N168" i="11"/>
  <c r="L168" i="11"/>
  <c r="K168" i="11"/>
  <c r="J168" i="11"/>
  <c r="T166" i="11"/>
  <c r="S166" i="11"/>
  <c r="Q166" i="11"/>
  <c r="R166" i="11" s="1"/>
  <c r="O166" i="11"/>
  <c r="N166" i="11"/>
  <c r="L166" i="11"/>
  <c r="K166" i="11"/>
  <c r="J166" i="11"/>
  <c r="T164" i="11"/>
  <c r="Q164" i="11"/>
  <c r="O164" i="11"/>
  <c r="N164" i="11"/>
  <c r="L164" i="11"/>
  <c r="K164" i="11"/>
  <c r="J164" i="11"/>
  <c r="T157" i="11"/>
  <c r="S157" i="11"/>
  <c r="Q157" i="11"/>
  <c r="O157" i="11"/>
  <c r="N157" i="11"/>
  <c r="L157" i="11"/>
  <c r="K157" i="11"/>
  <c r="K153" i="11"/>
  <c r="T153" i="11"/>
  <c r="S153" i="11"/>
  <c r="Q153" i="11"/>
  <c r="O153" i="11"/>
  <c r="N153" i="11"/>
  <c r="L153" i="11"/>
  <c r="L143" i="11"/>
  <c r="K143" i="11"/>
  <c r="T143" i="11"/>
  <c r="S143" i="11"/>
  <c r="Q143" i="11"/>
  <c r="O143" i="11"/>
  <c r="N143" i="11"/>
  <c r="J143" i="11"/>
  <c r="T139" i="11"/>
  <c r="S139" i="11"/>
  <c r="Q139" i="11"/>
  <c r="O139" i="11"/>
  <c r="N139" i="11"/>
  <c r="L139" i="11"/>
  <c r="K139" i="11"/>
  <c r="J139" i="11"/>
  <c r="T138" i="11"/>
  <c r="T127" i="11" s="1"/>
  <c r="S138" i="11"/>
  <c r="S127" i="11" s="1"/>
  <c r="Q138" i="11"/>
  <c r="Q127" i="11" s="1"/>
  <c r="R127" i="11" s="1"/>
  <c r="O138" i="11"/>
  <c r="O127" i="11" s="1"/>
  <c r="N138" i="11"/>
  <c r="N127" i="11" s="1"/>
  <c r="L127" i="11"/>
  <c r="K138" i="11"/>
  <c r="K127" i="11" s="1"/>
  <c r="J138" i="11"/>
  <c r="J127" i="11" s="1"/>
  <c r="T137" i="11"/>
  <c r="S137" i="11"/>
  <c r="Q137" i="11"/>
  <c r="O137" i="11"/>
  <c r="N137" i="11"/>
  <c r="L137" i="11"/>
  <c r="K137" i="11"/>
  <c r="J137" i="11"/>
  <c r="T133" i="11"/>
  <c r="S133" i="11"/>
  <c r="Q133" i="11"/>
  <c r="O133" i="11"/>
  <c r="N133" i="11"/>
  <c r="L133" i="11"/>
  <c r="K133" i="11"/>
  <c r="J131" i="11"/>
  <c r="T129" i="11"/>
  <c r="S129" i="11"/>
  <c r="Q129" i="11"/>
  <c r="O129" i="11"/>
  <c r="J129" i="11"/>
  <c r="J125" i="11" l="1"/>
  <c r="T125" i="11"/>
  <c r="S125" i="11"/>
  <c r="R51" i="11"/>
  <c r="M39" i="11"/>
  <c r="M36" i="11" s="1"/>
  <c r="L36" i="11"/>
  <c r="J128" i="11"/>
  <c r="S163" i="11"/>
  <c r="S162" i="11" s="1"/>
  <c r="T163" i="11"/>
  <c r="T162" i="11" s="1"/>
  <c r="Q163" i="11"/>
  <c r="Q162" i="11" s="1"/>
  <c r="Q190" i="11"/>
  <c r="P52" i="11"/>
  <c r="N163" i="11"/>
  <c r="N162" i="11" s="1"/>
  <c r="J163" i="11"/>
  <c r="J162" i="11" s="1"/>
  <c r="K163" i="11"/>
  <c r="K162" i="11" s="1"/>
  <c r="L163" i="11"/>
  <c r="L162" i="11" s="1"/>
  <c r="O163" i="11"/>
  <c r="O162" i="11" s="1"/>
  <c r="R138" i="11"/>
  <c r="L131" i="11"/>
  <c r="K131" i="11"/>
  <c r="Q131" i="11"/>
  <c r="Q125" i="11" s="1"/>
  <c r="O131" i="11"/>
  <c r="O125" i="11" s="1"/>
  <c r="N131" i="11"/>
  <c r="N129" i="11"/>
  <c r="L129" i="11"/>
  <c r="K129" i="11"/>
  <c r="M167" i="11"/>
  <c r="M166" i="11" s="1"/>
  <c r="M169" i="11"/>
  <c r="M171" i="11"/>
  <c r="R171" i="11" s="1"/>
  <c r="M172" i="11"/>
  <c r="R172" i="11" s="1"/>
  <c r="M174" i="11"/>
  <c r="R174" i="11" s="1"/>
  <c r="M175" i="11"/>
  <c r="R175" i="11" s="1"/>
  <c r="M177" i="11"/>
  <c r="M179" i="11"/>
  <c r="R179" i="11" s="1"/>
  <c r="M181" i="11"/>
  <c r="M183" i="11"/>
  <c r="M182" i="11" s="1"/>
  <c r="M185" i="11"/>
  <c r="M186" i="11"/>
  <c r="M188" i="11"/>
  <c r="M165" i="11"/>
  <c r="P165" i="11" s="1"/>
  <c r="M132" i="11"/>
  <c r="M131" i="11" s="1"/>
  <c r="M134" i="11"/>
  <c r="R134" i="11" s="1"/>
  <c r="M135" i="11"/>
  <c r="R135" i="11" s="1"/>
  <c r="M136" i="11"/>
  <c r="R136" i="11" s="1"/>
  <c r="M140" i="11"/>
  <c r="M137" i="11" s="1"/>
  <c r="M141" i="11"/>
  <c r="M142" i="11"/>
  <c r="M144" i="11"/>
  <c r="M145" i="11"/>
  <c r="M146" i="11"/>
  <c r="M151" i="11"/>
  <c r="M152" i="11"/>
  <c r="R152" i="11" s="1"/>
  <c r="M154" i="11"/>
  <c r="M155" i="11"/>
  <c r="R155" i="11" s="1"/>
  <c r="M156" i="11"/>
  <c r="M158" i="11"/>
  <c r="M159" i="11"/>
  <c r="R159" i="11" s="1"/>
  <c r="M160" i="11"/>
  <c r="R160" i="11" s="1"/>
  <c r="M161" i="11"/>
  <c r="P161" i="11" s="1"/>
  <c r="P112" i="11"/>
  <c r="M97" i="11"/>
  <c r="M101" i="11"/>
  <c r="M102" i="11"/>
  <c r="M104" i="11"/>
  <c r="M96" i="11"/>
  <c r="R61" i="11"/>
  <c r="M46" i="11"/>
  <c r="P86" i="11"/>
  <c r="M184" i="11" l="1"/>
  <c r="M157" i="11"/>
  <c r="P188" i="11"/>
  <c r="P187" i="11" s="1"/>
  <c r="M187" i="11"/>
  <c r="M128" i="11"/>
  <c r="M138" i="11"/>
  <c r="M127" i="11" s="1"/>
  <c r="R161" i="11"/>
  <c r="R186" i="11"/>
  <c r="P186" i="11"/>
  <c r="R185" i="11"/>
  <c r="P185" i="11"/>
  <c r="O189" i="11"/>
  <c r="R158" i="11"/>
  <c r="M178" i="11"/>
  <c r="R178" i="11" s="1"/>
  <c r="P179" i="11"/>
  <c r="P132" i="11"/>
  <c r="P131" i="11" s="1"/>
  <c r="R131" i="11"/>
  <c r="M168" i="11"/>
  <c r="R168" i="11" s="1"/>
  <c r="P169" i="11"/>
  <c r="P168" i="11" s="1"/>
  <c r="R169" i="11"/>
  <c r="R150" i="11"/>
  <c r="P151" i="11"/>
  <c r="R151" i="11"/>
  <c r="R144" i="11"/>
  <c r="P144" i="11"/>
  <c r="R132" i="11"/>
  <c r="M139" i="11"/>
  <c r="R139" i="11" s="1"/>
  <c r="P142" i="11"/>
  <c r="P139" i="11" s="1"/>
  <c r="R142" i="11"/>
  <c r="P145" i="11"/>
  <c r="R145" i="11"/>
  <c r="P141" i="11"/>
  <c r="P138" i="11" s="1"/>
  <c r="P127" i="11" s="1"/>
  <c r="R182" i="11"/>
  <c r="R183" i="11"/>
  <c r="R137" i="11"/>
  <c r="R140" i="11"/>
  <c r="M176" i="11"/>
  <c r="R176" i="11" s="1"/>
  <c r="R177" i="11"/>
  <c r="M164" i="11"/>
  <c r="R165" i="11"/>
  <c r="R129" i="11"/>
  <c r="R130" i="11"/>
  <c r="M180" i="11"/>
  <c r="R180" i="11" s="1"/>
  <c r="R181" i="11"/>
  <c r="M148" i="11"/>
  <c r="R148" i="11" s="1"/>
  <c r="R184" i="11"/>
  <c r="R157" i="11"/>
  <c r="M143" i="11"/>
  <c r="R143" i="11" s="1"/>
  <c r="M153" i="11"/>
  <c r="R153" i="11" s="1"/>
  <c r="M173" i="11"/>
  <c r="R173" i="11" s="1"/>
  <c r="M133" i="11"/>
  <c r="R133" i="11" s="1"/>
  <c r="M170" i="11"/>
  <c r="R170" i="11" s="1"/>
  <c r="R37" i="11"/>
  <c r="R5" i="11"/>
  <c r="R111" i="11"/>
  <c r="P152" i="11"/>
  <c r="T128" i="11"/>
  <c r="S128" i="11"/>
  <c r="Q128" i="11"/>
  <c r="O128" i="11"/>
  <c r="N128" i="11"/>
  <c r="L128" i="11"/>
  <c r="K128" i="11"/>
  <c r="M125" i="11" l="1"/>
  <c r="R126" i="11"/>
  <c r="R147" i="11"/>
  <c r="R164" i="11"/>
  <c r="R128" i="11"/>
  <c r="T189" i="11"/>
  <c r="S189" i="11"/>
  <c r="Q189" i="11"/>
  <c r="N125" i="11"/>
  <c r="L125" i="11"/>
  <c r="K125" i="11"/>
  <c r="J90" i="11"/>
  <c r="J121" i="11" s="1"/>
  <c r="T192" i="11"/>
  <c r="S192" i="11"/>
  <c r="Q192" i="11"/>
  <c r="T191" i="11"/>
  <c r="S191" i="11"/>
  <c r="O191" i="11"/>
  <c r="N191" i="11"/>
  <c r="N190" i="11"/>
  <c r="K192" i="11"/>
  <c r="L191" i="11"/>
  <c r="K191" i="11"/>
  <c r="L190" i="11"/>
  <c r="K190" i="11"/>
  <c r="J191" i="11"/>
  <c r="J190" i="11"/>
  <c r="P175" i="11"/>
  <c r="P160" i="11"/>
  <c r="P159" i="11"/>
  <c r="P156" i="11"/>
  <c r="P155" i="11"/>
  <c r="P148" i="11"/>
  <c r="P146" i="11"/>
  <c r="P143" i="11" s="1"/>
  <c r="P136" i="11"/>
  <c r="P135" i="11"/>
  <c r="P37" i="11"/>
  <c r="P38" i="11"/>
  <c r="P50" i="11"/>
  <c r="P53" i="11"/>
  <c r="P54" i="11"/>
  <c r="P55" i="11"/>
  <c r="P56" i="11"/>
  <c r="P57" i="11"/>
  <c r="P58" i="11"/>
  <c r="P59" i="11"/>
  <c r="P61" i="11"/>
  <c r="P62" i="11"/>
  <c r="P65" i="11"/>
  <c r="P66" i="11"/>
  <c r="P67" i="11"/>
  <c r="P68" i="11"/>
  <c r="P70" i="11"/>
  <c r="P71" i="11"/>
  <c r="P73" i="11"/>
  <c r="P74" i="11"/>
  <c r="P75" i="11"/>
  <c r="P76" i="11"/>
  <c r="P46" i="11" s="1"/>
  <c r="P77" i="11"/>
  <c r="P81" i="11"/>
  <c r="P82" i="11"/>
  <c r="P83" i="11"/>
  <c r="P84" i="11"/>
  <c r="P85" i="11"/>
  <c r="P87" i="11"/>
  <c r="P88" i="11"/>
  <c r="P49" i="11"/>
  <c r="P39" i="11"/>
  <c r="P43" i="11"/>
  <c r="L192" i="11"/>
  <c r="L114" i="11"/>
  <c r="L113" i="11" s="1"/>
  <c r="L109" i="11" s="1"/>
  <c r="L117" i="11" s="1"/>
  <c r="L120" i="11" s="1"/>
  <c r="K114" i="11"/>
  <c r="K113" i="11" s="1"/>
  <c r="K109" i="11" s="1"/>
  <c r="K117" i="11" s="1"/>
  <c r="K120" i="11" s="1"/>
  <c r="L108" i="11"/>
  <c r="L116" i="11" s="1"/>
  <c r="K110" i="11"/>
  <c r="K108" i="11" s="1"/>
  <c r="K116" i="11" s="1"/>
  <c r="L103" i="11"/>
  <c r="K103" i="11"/>
  <c r="L100" i="11"/>
  <c r="L99" i="11" s="1"/>
  <c r="L98" i="11" s="1"/>
  <c r="K100" i="11"/>
  <c r="K99" i="11" s="1"/>
  <c r="K98" i="11" s="1"/>
  <c r="L95" i="11"/>
  <c r="L94" i="11" s="1"/>
  <c r="K95" i="11"/>
  <c r="K94" i="11" s="1"/>
  <c r="L46" i="11"/>
  <c r="K46" i="11"/>
  <c r="L45" i="11"/>
  <c r="K45" i="11"/>
  <c r="K90" i="11" s="1"/>
  <c r="K121" i="11" s="1"/>
  <c r="L89" i="11"/>
  <c r="K89" i="11"/>
  <c r="L26" i="11"/>
  <c r="K26" i="11"/>
  <c r="L18" i="11"/>
  <c r="K18" i="11"/>
  <c r="L4" i="11"/>
  <c r="K4" i="11"/>
  <c r="J192" i="11"/>
  <c r="J114" i="11"/>
  <c r="J113" i="11" s="1"/>
  <c r="J109" i="11" s="1"/>
  <c r="J117" i="11" s="1"/>
  <c r="J120" i="11" s="1"/>
  <c r="J110" i="11"/>
  <c r="J108" i="11" s="1"/>
  <c r="J116" i="11" s="1"/>
  <c r="J46" i="11"/>
  <c r="J91" i="11" s="1"/>
  <c r="J122" i="11" s="1"/>
  <c r="J26" i="11"/>
  <c r="J18" i="11"/>
  <c r="J4" i="11"/>
  <c r="O192" i="11"/>
  <c r="P44" i="11" l="1"/>
  <c r="K105" i="11"/>
  <c r="P36" i="11"/>
  <c r="S193" i="11"/>
  <c r="R125" i="11"/>
  <c r="M103" i="11"/>
  <c r="Q191" i="11"/>
  <c r="Q193" i="11" s="1"/>
  <c r="M100" i="11"/>
  <c r="L91" i="11"/>
  <c r="L90" i="11"/>
  <c r="L121" i="11" s="1"/>
  <c r="K91" i="11"/>
  <c r="K122" i="11" s="1"/>
  <c r="K92" i="11"/>
  <c r="M190" i="11"/>
  <c r="M191" i="11"/>
  <c r="J189" i="11"/>
  <c r="J193" i="11" s="1"/>
  <c r="P172" i="11"/>
  <c r="M192" i="11"/>
  <c r="M4" i="11"/>
  <c r="L189" i="11"/>
  <c r="L193" i="11" s="1"/>
  <c r="K189" i="11"/>
  <c r="K193" i="11" s="1"/>
  <c r="K118" i="11"/>
  <c r="L118" i="11"/>
  <c r="L105" i="11"/>
  <c r="L106" i="11" s="1"/>
  <c r="K106" i="11"/>
  <c r="L3" i="11"/>
  <c r="L33" i="11" s="1"/>
  <c r="L34" i="11" s="1"/>
  <c r="K3" i="11"/>
  <c r="K33" i="11" s="1"/>
  <c r="K34" i="11" s="1"/>
  <c r="N189" i="11"/>
  <c r="J118" i="11"/>
  <c r="J89" i="11"/>
  <c r="J92" i="11" s="1"/>
  <c r="J3" i="11"/>
  <c r="Q45" i="11"/>
  <c r="Q46" i="11"/>
  <c r="O45" i="11"/>
  <c r="O90" i="11" s="1"/>
  <c r="O46" i="11"/>
  <c r="M91" i="11"/>
  <c r="M45" i="11"/>
  <c r="T95" i="11"/>
  <c r="S95" i="11"/>
  <c r="Q95" i="11"/>
  <c r="O95" i="11"/>
  <c r="N95" i="11"/>
  <c r="M95" i="11"/>
  <c r="M94" i="11" s="1"/>
  <c r="R96" i="11"/>
  <c r="P96" i="11"/>
  <c r="P102" i="11"/>
  <c r="P104" i="11"/>
  <c r="P103" i="11" s="1"/>
  <c r="T103" i="11"/>
  <c r="S103" i="11"/>
  <c r="Q103" i="11"/>
  <c r="O103" i="11"/>
  <c r="N103" i="11"/>
  <c r="S26" i="11"/>
  <c r="Q26" i="11"/>
  <c r="O26" i="11"/>
  <c r="M26" i="11"/>
  <c r="S18" i="11"/>
  <c r="Q18" i="11"/>
  <c r="O18" i="11"/>
  <c r="M18" i="11"/>
  <c r="S4" i="11"/>
  <c r="Q4" i="11"/>
  <c r="O4" i="11"/>
  <c r="L119" i="11" l="1"/>
  <c r="P191" i="11"/>
  <c r="P128" i="11"/>
  <c r="L92" i="11"/>
  <c r="J33" i="11"/>
  <c r="J34" i="11" s="1"/>
  <c r="M99" i="11"/>
  <c r="L122" i="11"/>
  <c r="K119" i="11"/>
  <c r="K123" i="11" s="1"/>
  <c r="K194" i="11" s="1"/>
  <c r="O94" i="11"/>
  <c r="O89" i="11"/>
  <c r="N89" i="11"/>
  <c r="P27" i="11"/>
  <c r="R42" i="11"/>
  <c r="R43" i="11"/>
  <c r="M90" i="11"/>
  <c r="M121" i="11" s="1"/>
  <c r="N45" i="11"/>
  <c r="N90" i="11" s="1"/>
  <c r="N121" i="11" s="1"/>
  <c r="O121" i="11"/>
  <c r="Q90" i="11"/>
  <c r="S45" i="11"/>
  <c r="S90" i="11" s="1"/>
  <c r="T45" i="11"/>
  <c r="T90" i="11" s="1"/>
  <c r="M122" i="11"/>
  <c r="N46" i="11"/>
  <c r="N91" i="11" s="1"/>
  <c r="N122" i="11" s="1"/>
  <c r="O91" i="11"/>
  <c r="O122" i="11" s="1"/>
  <c r="S46" i="11"/>
  <c r="S91" i="11" s="1"/>
  <c r="S122" i="11" s="1"/>
  <c r="T46" i="11"/>
  <c r="T91" i="11" s="1"/>
  <c r="T122" i="11" s="1"/>
  <c r="P167" i="11"/>
  <c r="P166" i="11" s="1"/>
  <c r="P171" i="11"/>
  <c r="P170" i="11" s="1"/>
  <c r="P174" i="11"/>
  <c r="P173" i="11" s="1"/>
  <c r="P177" i="11"/>
  <c r="P176" i="11" s="1"/>
  <c r="P178" i="11"/>
  <c r="P181" i="11"/>
  <c r="P180" i="11" s="1"/>
  <c r="P183" i="11"/>
  <c r="P182" i="11" s="1"/>
  <c r="P184" i="11"/>
  <c r="P164" i="11"/>
  <c r="P134" i="11"/>
  <c r="P133" i="11" s="1"/>
  <c r="P140" i="11"/>
  <c r="P137" i="11" s="1"/>
  <c r="P154" i="11"/>
  <c r="P153" i="11" s="1"/>
  <c r="P158" i="11"/>
  <c r="P157" i="11" s="1"/>
  <c r="P130" i="11"/>
  <c r="P129" i="11" s="1"/>
  <c r="S110" i="11"/>
  <c r="S116" i="11" s="1"/>
  <c r="R49" i="11"/>
  <c r="P97" i="11"/>
  <c r="T94" i="11"/>
  <c r="S94" i="11"/>
  <c r="Q110" i="11"/>
  <c r="Q116" i="11" s="1"/>
  <c r="Q94" i="11"/>
  <c r="N94" i="11"/>
  <c r="N105" i="11" s="1"/>
  <c r="Q100" i="11"/>
  <c r="Q99" i="11" s="1"/>
  <c r="Q98" i="11" s="1"/>
  <c r="N4" i="11"/>
  <c r="R101" i="11"/>
  <c r="R76" i="11"/>
  <c r="O110" i="11"/>
  <c r="O108" i="11" s="1"/>
  <c r="M110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8" i="11"/>
  <c r="R87" i="11"/>
  <c r="R86" i="11"/>
  <c r="R85" i="11"/>
  <c r="R84" i="11"/>
  <c r="R83" i="11"/>
  <c r="R82" i="11"/>
  <c r="R81" i="11"/>
  <c r="R79" i="11"/>
  <c r="R78" i="11"/>
  <c r="R77" i="11"/>
  <c r="R75" i="11"/>
  <c r="R74" i="11"/>
  <c r="R73" i="11"/>
  <c r="R71" i="11"/>
  <c r="R70" i="11"/>
  <c r="R69" i="11"/>
  <c r="R68" i="11"/>
  <c r="R67" i="11"/>
  <c r="R66" i="11"/>
  <c r="R65" i="11"/>
  <c r="R62" i="11"/>
  <c r="R60" i="11"/>
  <c r="R59" i="11"/>
  <c r="R58" i="11"/>
  <c r="R57" i="11"/>
  <c r="R56" i="11"/>
  <c r="R55" i="11"/>
  <c r="R54" i="11"/>
  <c r="R53" i="11"/>
  <c r="R52" i="11"/>
  <c r="R50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101" i="11"/>
  <c r="P100" i="11" s="1"/>
  <c r="R115" i="11"/>
  <c r="R112" i="11"/>
  <c r="R102" i="11"/>
  <c r="T110" i="11"/>
  <c r="T108" i="11" s="1"/>
  <c r="R104" i="11"/>
  <c r="O100" i="11"/>
  <c r="O99" i="11" s="1"/>
  <c r="O98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10" i="11"/>
  <c r="N116" i="11" s="1"/>
  <c r="N100" i="11"/>
  <c r="N114" i="11"/>
  <c r="N113" i="11" s="1"/>
  <c r="N109" i="11" s="1"/>
  <c r="P115" i="11"/>
  <c r="T114" i="11"/>
  <c r="T113" i="11" s="1"/>
  <c r="T109" i="11" s="1"/>
  <c r="T117" i="11" s="1"/>
  <c r="S114" i="11"/>
  <c r="S113" i="11" s="1"/>
  <c r="S109" i="11" s="1"/>
  <c r="S117" i="11" s="1"/>
  <c r="Q114" i="11"/>
  <c r="O114" i="11"/>
  <c r="O113" i="11" s="1"/>
  <c r="O109" i="11" s="1"/>
  <c r="O117" i="11" s="1"/>
  <c r="O120" i="11" s="1"/>
  <c r="M114" i="11"/>
  <c r="M113" i="11" s="1"/>
  <c r="T100" i="11"/>
  <c r="T99" i="11" s="1"/>
  <c r="T98" i="11" s="1"/>
  <c r="S100" i="11"/>
  <c r="S99" i="11" s="1"/>
  <c r="S98" i="11" s="1"/>
  <c r="R38" i="11"/>
  <c r="R39" i="11"/>
  <c r="P125" i="11" l="1"/>
  <c r="P163" i="11"/>
  <c r="P162" i="11" s="1"/>
  <c r="P110" i="11"/>
  <c r="O105" i="11"/>
  <c r="O106" i="11" s="1"/>
  <c r="R94" i="11"/>
  <c r="P192" i="11"/>
  <c r="M98" i="11"/>
  <c r="L123" i="11"/>
  <c r="L194" i="11" s="1"/>
  <c r="P190" i="11"/>
  <c r="M108" i="11"/>
  <c r="R110" i="11"/>
  <c r="T105" i="11"/>
  <c r="T106" i="11" s="1"/>
  <c r="S105" i="11"/>
  <c r="S106" i="11" s="1"/>
  <c r="Q105" i="11"/>
  <c r="R190" i="11"/>
  <c r="P95" i="11"/>
  <c r="P94" i="11" s="1"/>
  <c r="P18" i="11"/>
  <c r="P4" i="11"/>
  <c r="P26" i="11"/>
  <c r="T89" i="11"/>
  <c r="T92" i="11" s="1"/>
  <c r="R46" i="11"/>
  <c r="O116" i="11"/>
  <c r="O118" i="11" s="1"/>
  <c r="P89" i="11"/>
  <c r="R45" i="11"/>
  <c r="Q91" i="11"/>
  <c r="Q122" i="11" s="1"/>
  <c r="R122" i="11" s="1"/>
  <c r="N92" i="11"/>
  <c r="R95" i="11"/>
  <c r="P45" i="11"/>
  <c r="P91" i="11"/>
  <c r="P122" i="11" s="1"/>
  <c r="R18" i="11"/>
  <c r="N193" i="11"/>
  <c r="O3" i="11"/>
  <c r="O33" i="11" s="1"/>
  <c r="O34" i="11" s="1"/>
  <c r="N117" i="11"/>
  <c r="N120" i="11" s="1"/>
  <c r="P99" i="11"/>
  <c r="P98" i="11" s="1"/>
  <c r="N3" i="11"/>
  <c r="N33" i="11" s="1"/>
  <c r="N34" i="11" s="1"/>
  <c r="R114" i="11"/>
  <c r="N108" i="11"/>
  <c r="R192" i="11"/>
  <c r="R191" i="11"/>
  <c r="T116" i="11"/>
  <c r="S108" i="11"/>
  <c r="Q108" i="11"/>
  <c r="R100" i="11"/>
  <c r="R36" i="11"/>
  <c r="O92" i="11"/>
  <c r="M89" i="11"/>
  <c r="M92" i="11" s="1"/>
  <c r="T33" i="11"/>
  <c r="S3" i="11"/>
  <c r="S33" i="11" s="1"/>
  <c r="S34" i="11" s="1"/>
  <c r="Q3" i="11"/>
  <c r="R26" i="11"/>
  <c r="M3" i="11"/>
  <c r="M33" i="11" s="1"/>
  <c r="M34" i="11" s="1"/>
  <c r="T121" i="11"/>
  <c r="S121" i="11"/>
  <c r="R99" i="11"/>
  <c r="N106" i="11"/>
  <c r="S118" i="11"/>
  <c r="S120" i="11"/>
  <c r="M109" i="11"/>
  <c r="M117" i="11" s="1"/>
  <c r="M120" i="11" s="1"/>
  <c r="P113" i="11"/>
  <c r="P109" i="11" s="1"/>
  <c r="P117" i="11" s="1"/>
  <c r="P120" i="11" s="1"/>
  <c r="T120" i="11"/>
  <c r="Q121" i="11"/>
  <c r="R121" i="11" s="1"/>
  <c r="R90" i="11"/>
  <c r="R4" i="11"/>
  <c r="P114" i="11"/>
  <c r="Q113" i="11"/>
  <c r="P105" i="11" l="1"/>
  <c r="P106" i="11" s="1"/>
  <c r="P189" i="11"/>
  <c r="P193" i="11" s="1"/>
  <c r="P3" i="11"/>
  <c r="P33" i="11" s="1"/>
  <c r="P34" i="11" s="1"/>
  <c r="P108" i="11"/>
  <c r="P116" i="11"/>
  <c r="R98" i="11"/>
  <c r="M105" i="11"/>
  <c r="M106" i="11" s="1"/>
  <c r="S92" i="11"/>
  <c r="S119" i="11"/>
  <c r="S123" i="11" s="1"/>
  <c r="S194" i="11" s="1"/>
  <c r="T34" i="11"/>
  <c r="T119" i="11"/>
  <c r="T123" i="11" s="1"/>
  <c r="R108" i="11"/>
  <c r="J119" i="11"/>
  <c r="J123" i="11" s="1"/>
  <c r="J194" i="11" s="1"/>
  <c r="M116" i="11"/>
  <c r="R116" i="11" s="1"/>
  <c r="T193" i="11"/>
  <c r="O193" i="11"/>
  <c r="Q92" i="11"/>
  <c r="R92" i="11" s="1"/>
  <c r="P90" i="11"/>
  <c r="P121" i="11" s="1"/>
  <c r="R91" i="11"/>
  <c r="R3" i="11"/>
  <c r="N118" i="11"/>
  <c r="R103" i="11"/>
  <c r="T118" i="11"/>
  <c r="R89" i="11"/>
  <c r="Q33" i="11"/>
  <c r="R33" i="11" s="1"/>
  <c r="O119" i="11"/>
  <c r="O123" i="11" s="1"/>
  <c r="Q106" i="11"/>
  <c r="R113" i="11"/>
  <c r="Q109" i="11"/>
  <c r="N119" i="11"/>
  <c r="N123" i="11" s="1"/>
  <c r="N194" i="11" s="1"/>
  <c r="P119" i="11" l="1"/>
  <c r="P123" i="11" s="1"/>
  <c r="P194" i="11" s="1"/>
  <c r="M118" i="11"/>
  <c r="T194" i="11"/>
  <c r="Q119" i="11"/>
  <c r="Q34" i="11"/>
  <c r="R34" i="11" s="1"/>
  <c r="R105" i="11"/>
  <c r="O194" i="11"/>
  <c r="M119" i="11"/>
  <c r="R106" i="11"/>
  <c r="P92" i="11"/>
  <c r="R109" i="11"/>
  <c r="Q117" i="11"/>
  <c r="P118" i="11"/>
  <c r="M123" i="11" l="1"/>
  <c r="R119" i="11"/>
  <c r="Q120" i="11"/>
  <c r="R117" i="11"/>
  <c r="Q118" i="11"/>
  <c r="R118" i="11" s="1"/>
  <c r="R120" i="11" l="1"/>
  <c r="Q123" i="11"/>
  <c r="Q194" i="11" s="1"/>
  <c r="R123" i="11" l="1"/>
  <c r="M163" i="11"/>
  <c r="R163" i="11" s="1"/>
  <c r="M162" i="11" l="1"/>
  <c r="R162" i="11" l="1"/>
  <c r="M189" i="11"/>
  <c r="M193" i="11" l="1"/>
  <c r="R189" i="11"/>
  <c r="M194" i="11" l="1"/>
  <c r="R193" i="11"/>
  <c r="R194" i="11" l="1"/>
</calcChain>
</file>

<file path=xl/sharedStrings.xml><?xml version="1.0" encoding="utf-8"?>
<sst xmlns="http://schemas.openxmlformats.org/spreadsheetml/2006/main" count="1310" uniqueCount="251">
  <si>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</si>
  <si>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</si>
  <si>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</si>
  <si>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</si>
  <si>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</si>
  <si>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</si>
  <si>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</si>
  <si>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</si>
  <si>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</si>
  <si>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</si>
  <si>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</si>
  <si>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</si>
  <si>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</si>
  <si>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</si>
  <si>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</si>
  <si>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</si>
  <si>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</si>
  <si>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</si>
  <si>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</si>
  <si>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</si>
  <si>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</si>
  <si>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</si>
  <si>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</si>
  <si>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</si>
  <si>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</si>
  <si>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</si>
  <si>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</si>
  <si>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</si>
  <si>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</si>
  <si>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</si>
  <si>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</si>
  <si>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</si>
  <si>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</si>
  <si>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</si>
  <si>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</si>
  <si>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</si>
  <si>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</si>
  <si>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</si>
  <si>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</si>
  <si>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</si>
  <si>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</si>
  <si>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</si>
  <si>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</si>
  <si>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</si>
  <si>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</si>
  <si>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</si>
  <si>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</si>
  <si>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</si>
  <si>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</si>
  <si>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</si>
  <si>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</si>
  <si>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</si>
  <si>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</si>
  <si>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</si>
  <si>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</si>
  <si>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</si>
  <si>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</si>
  <si>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</si>
  <si>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</si>
  <si>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</si>
  <si>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</si>
  <si>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</si>
  <si>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</si>
  <si>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</si>
  <si>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</si>
  <si>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</si>
  <si>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</si>
  <si>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</si>
  <si>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</si>
  <si>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</si>
  <si>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</si>
  <si>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</si>
  <si>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</si>
  <si>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</si>
  <si>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</si>
  <si>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</si>
  <si>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</si>
  <si>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</si>
  <si>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</si>
  <si>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</si>
  <si>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</si>
  <si>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</si>
  <si>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</si>
  <si>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</si>
  <si>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</si>
  <si>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</si>
  <si>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</si>
  <si>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</si>
  <si>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</si>
  <si>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</si>
  <si>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</si>
  <si>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</si>
  <si>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</si>
  <si>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</si>
  <si>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</si>
  <si>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</si>
  <si>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</si>
  <si>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</si>
  <si>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</si>
  <si>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</si>
  <si>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</si>
  <si>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</si>
  <si>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</si>
  <si>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</si>
  <si>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</si>
  <si>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</si>
  <si>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</si>
  <si>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</si>
  <si>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</si>
  <si>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</si>
  <si>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</si>
  <si>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</si>
  <si>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</si>
  <si>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</si>
  <si>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</si>
  <si>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</si>
  <si>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</si>
  <si>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</si>
  <si>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</si>
  <si>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</si>
  <si>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</si>
  <si>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</si>
  <si>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</si>
  <si>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</si>
  <si>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</si>
  <si>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</si>
  <si>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</si>
  <si>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</si>
  <si>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</si>
  <si>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</si>
  <si>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</si>
  <si>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</si>
  <si>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</si>
  <si>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</si>
  <si>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</si>
  <si>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</si>
  <si>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</si>
  <si>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</si>
  <si>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</si>
  <si>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</si>
  <si>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</si>
  <si>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</si>
  <si>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</si>
  <si>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</si>
  <si>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</si>
  <si>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</si>
  <si>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</si>
  <si>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</si>
  <si>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OTRAS TRANSFERENCIAS - PREVIO CONCEPTO DGPPN</t>
  </si>
  <si>
    <t>SERVICIOS PROFESIONALES, CIENTÍFICOS Y TÉCNICOS (EXCEPTO LOS SERVICIOS DE INVESTIGACION, URBANISMO, JURÍDICOS Y DE CONTABILIDAD)</t>
  </si>
  <si>
    <t>SERVICIOS RECREATIVOS, CULTURALES Y DEPORTIVOS</t>
  </si>
  <si>
    <t>20110c</t>
  </si>
  <si>
    <t>20111d</t>
  </si>
  <si>
    <t>20109c</t>
  </si>
  <si>
    <t>20113a</t>
  </si>
  <si>
    <t>53105b</t>
  </si>
  <si>
    <t>SERVICIOS DE ARRENDAMIENTO O ALQUILER SIN OPERARIO</t>
  </si>
  <si>
    <t>066</t>
  </si>
  <si>
    <t>CONGRESO DE MEDICINA LEGAL Y CIENCIAS FORENSES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</si>
  <si>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</si>
  <si>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</si>
  <si>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</si>
  <si>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</si>
  <si>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</si>
  <si>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</si>
  <si>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</si>
  <si>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</si>
  <si>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</si>
  <si>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</si>
  <si>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</si>
  <si>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</si>
  <si>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</si>
  <si>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</si>
  <si>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</si>
  <si>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</si>
  <si>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</si>
  <si>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</si>
  <si>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</si>
  <si>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</si>
  <si>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2999009</t>
  </si>
  <si>
    <t>2999055</t>
  </si>
  <si>
    <t>2999016</t>
  </si>
  <si>
    <t>2999064</t>
  </si>
  <si>
    <t>2999014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</si>
  <si>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</si>
  <si>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</si>
  <si>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</si>
  <si>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</si>
  <si>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</si>
  <si>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</si>
  <si>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</si>
  <si>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</si>
  <si>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</si>
  <si>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</si>
  <si>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</si>
  <si>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</si>
  <si>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</si>
  <si>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</si>
  <si>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</si>
  <si>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</si>
  <si>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</si>
  <si>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</si>
  <si>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</si>
  <si>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</si>
  <si>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SEDES CONSTRUIDAS - CONSTRUCCIÓN Y DOTACIÓN SEDE MEDICINA LEGAL SECCIONAL QUIBDÓ</t>
  </si>
  <si>
    <t>ADQUIS. DE BYS - SEDES CONSTRUIDAS - CONSTRUCCIÓN Y DOTACIÓN SEDE MEDICINA LEGAL REGIONAL ORIENTE  SOACHA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</si>
  <si>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</si>
  <si>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</si>
  <si>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</si>
  <si>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</si>
  <si>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</si>
  <si>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SERVICIOS DE INFORMACIÓN ACTUALIZADOS - FORTALECIMIENTO DE LA PLANEACIÓN ESTRATÉGICA Y DEL SISTEMA INTEGRADO DE GESTIÓN EN EL INSTITUTO NACIONAL DE MEDICINA LEGAL Y CIENCIAS FORENSES  NACIONAL</t>
  </si>
  <si>
    <t>ADQUIS. DE BYS - SEDES CON REFORZAMIENTO ESTRUCTURAL - REHABILITACIÓN ESTRUCTURAL SEDE CENTRAL  BOGOTÁ</t>
  </si>
  <si>
    <t>ADQUIS. DE BYS - SEDES MANTENIDAS - MEJORAMIENTO DEL PARQUE AUTOMOTOR DEL INSTITUTO NACIONAL DE MEDICINA LEGAL Y CIENCIAS FORENSES A NIVEL  NACIONAL</t>
  </si>
  <si>
    <t>ADQUIS. DE BYS - SEDES MANTENIDAS - MEJORAMIENTO Y MANTENIMIENTO DE EDIFICIOS SEDES DEL INSTITUTO NACIONAL DE MEDICINA LEGAL Y CIENCIAS FORENSES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</si>
  <si>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</si>
  <si>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</si>
  <si>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ADQUIS. DE BYS - SEDES CONSTRUIDAS - RECONSTRUCCIÓN Y DOTACIÓN SEDE MEDICINA LEGAL REGIONAL NOR ORIENTE  CÚCUTA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</si>
  <si>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</si>
  <si>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</si>
  <si>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</si>
  <si>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</si>
  <si>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</si>
  <si>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</si>
  <si>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CONSTRUCCIÓN Y DOTACIÓN SEDE MEDICINA LEGAL SECCIONAL QUIBDÓ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</si>
  <si>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</si>
  <si>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</si>
  <si>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</si>
  <si>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</si>
  <si>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</si>
  <si>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REFORZAMIENTO ESTRUCTURAL - 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</si>
  <si>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</si>
  <si>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</si>
  <si>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</si>
  <si>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</si>
  <si>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</si>
  <si>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</si>
  <si>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</si>
  <si>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</si>
  <si>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</si>
  <si>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</si>
  <si>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SERVICIOS DE ALQUILER DE VEHÍCULOS DE TRANSPORTE CON OPERARIO</t>
  </si>
  <si>
    <t>ARTICULOS TEXTILES (EXCEPTO PRENDAS DE VESTIR)</t>
  </si>
  <si>
    <t>PIEDRA, ARENA Y ARCILLA</t>
  </si>
  <si>
    <t xml:space="preserve">Reviso: Cesar Augusto Acuña Reyes- coordinador- Grupo Nacional de Gestión Presupuestal </t>
  </si>
  <si>
    <t>APROP. APLAZADA</t>
  </si>
  <si>
    <t>Elaboro: Martha C. Florez Giraldo - Profes. Univer. Grupo Nacional de Gestión Presupuestal</t>
  </si>
  <si>
    <t>RUBRO</t>
  </si>
  <si>
    <t>PASTA O PULPA, PAPEL Y PRODUCTOS DE PAPEL; IMPRESOS Y ARTÍCULOS SIMILARES</t>
  </si>
  <si>
    <t>OTROS MINERALES</t>
  </si>
  <si>
    <t>Fecha:Enero 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</si>
</sst>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sz val="11"/>
      <color rgb="FFFF0000"/>
      <name val="Calibri"/>
      <family val="2"/>
      <scheme val="minor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0" fontId="7" fillId="4" borderId="1" xfId="1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2" xfId="1" applyFont="1" applyFill="1" applyBorder="1" applyAlignment="1">
      <alignment horizontal="right" vertical="center" wrapText="1" readingOrder="1"/>
    </xf>
    <xf numFmtId="0" fontId="25" fillId="0" borderId="31" xfId="2" applyFont="1" applyBorder="1" applyAlignment="1">
      <alignment horizontal="left" vertical="center" wrapText="1"/>
    </xf>
    <xf numFmtId="0" fontId="24" fillId="0" borderId="31" xfId="0" applyFont="1" applyBorder="1" applyAlignment="1">
      <alignment horizontal="left" vertical="center" wrapText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201"/>
  <sheetViews>
    <sheetView showGridLines="0" tabSelected="1" zoomScale="140" zoomScaleNormal="140" workbookViewId="0">
      <pane xSplit="9" ySplit="2" topLeftCell="J3" activePane="bottomRight" state="frozen"/>
      <selection pane="topRight" activeCell="J1" sqref="J1"/>
      <selection pane="bottomLeft" activeCell="A3" sqref="A3"/>
      <selection pane="bottomRight" activeCell="G8" sqref="G8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5.140625" style="2" bestFit="1" customWidth="1"/>
    <col min="11" max="11" width="12.85546875" style="2" customWidth="1"/>
    <col min="12" max="12" width="14.140625" style="2" bestFit="1" customWidth="1"/>
    <col min="13" max="13" width="13.140625" style="2" customWidth="1"/>
    <col min="14" max="14" width="14.7109375" style="2" hidden="1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3" t="s">
        <v>247</v>
      </c>
      <c r="B1" s="124"/>
      <c r="C1" s="124"/>
      <c r="D1" s="124"/>
      <c r="E1" s="124"/>
      <c r="F1" s="125"/>
      <c r="G1" s="87" t="s">
        <v>0</v>
      </c>
      <c r="H1" s="87" t="s">
        <v>1</v>
      </c>
      <c r="I1" s="87" t="s">
        <v>2</v>
      </c>
      <c r="J1" s="98" t="s">
        <v>159</v>
      </c>
      <c r="K1" s="98" t="s">
        <v>160</v>
      </c>
      <c r="L1" s="98" t="s">
        <v>161</v>
      </c>
      <c r="M1" s="87" t="s">
        <v>33</v>
      </c>
      <c r="N1" s="87" t="s">
        <v>245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20" t="s">
        <v>88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2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273375100000</v>
      </c>
      <c r="K3" s="37">
        <f t="shared" ref="K3:L3" si="0">K4+K18+K26</f>
        <v>25278500000</v>
      </c>
      <c r="L3" s="104">
        <f t="shared" si="0"/>
        <v>6430500000</v>
      </c>
      <c r="M3" s="104">
        <f>M4+M18+M26</f>
        <v>292223100000</v>
      </c>
      <c r="N3" s="37">
        <f>N4+N18+N26</f>
        <v>0</v>
      </c>
      <c r="O3" s="37">
        <f>O4+O18+O26</f>
        <v>289413188388</v>
      </c>
      <c r="P3" s="104">
        <f>P4+P18+P26</f>
        <v>2809911612</v>
      </c>
      <c r="Q3" s="37">
        <f>Q4+Q18+Q26</f>
        <v>289413188388</v>
      </c>
      <c r="R3" s="38">
        <f t="shared" ref="R3:R34" si="1">IF(Q3&gt;1,Q3/(M3-N3),0)</f>
        <v>0.99038436177016809</v>
      </c>
      <c r="S3" s="37">
        <f>S4+S18+S26</f>
        <v>289393146550</v>
      </c>
      <c r="T3" s="39">
        <f>T4+T18+T26</f>
        <v>281292959638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185612500000</v>
      </c>
      <c r="K4" s="24">
        <f t="shared" ref="K4:L4" si="2">SUM(K5:K17)</f>
        <v>11335000000</v>
      </c>
      <c r="L4" s="24">
        <f t="shared" si="2"/>
        <v>560000000</v>
      </c>
      <c r="M4" s="24">
        <f>SUM(M5:M17)</f>
        <v>196387500000</v>
      </c>
      <c r="N4" s="24">
        <f>SUM(N5:N17)</f>
        <v>0</v>
      </c>
      <c r="O4" s="24">
        <f>SUM(O5:O17)</f>
        <v>194012806529</v>
      </c>
      <c r="P4" s="24">
        <f>SUM(P5:P17)</f>
        <v>2374693471</v>
      </c>
      <c r="Q4" s="24">
        <f>SUM(Q5:Q17)</f>
        <v>194012806529</v>
      </c>
      <c r="R4" s="97">
        <f t="shared" si="1"/>
        <v>0.98790812311883391</v>
      </c>
      <c r="S4" s="14">
        <f>SUM(S5:S17)</f>
        <v>194001472234</v>
      </c>
      <c r="T4" s="33">
        <f>SUM(T5:T17)</f>
        <v>194001472234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132596545204</v>
      </c>
      <c r="K5" s="9">
        <v>8934678582</v>
      </c>
      <c r="L5" s="27">
        <v>60000000</v>
      </c>
      <c r="M5" s="27">
        <f>J5+K5-L5</f>
        <v>141471223786</v>
      </c>
      <c r="N5" s="9">
        <v>0</v>
      </c>
      <c r="O5" s="9">
        <v>140405346583</v>
      </c>
      <c r="P5" s="27">
        <f t="shared" ref="P5:P17" si="3">+M5-O5-N5</f>
        <v>1065877203</v>
      </c>
      <c r="Q5" s="9">
        <v>140405346583</v>
      </c>
      <c r="R5" s="25">
        <f>IF(Q5&gt;1,Q5/(M5-N5),0)</f>
        <v>0.99246576671583531</v>
      </c>
      <c r="S5" s="9">
        <v>140405346583</v>
      </c>
      <c r="T5" s="10">
        <v>140405346583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2792215146</v>
      </c>
      <c r="K6" s="9">
        <v>0</v>
      </c>
      <c r="L6" s="27">
        <v>0</v>
      </c>
      <c r="M6" s="27">
        <f t="shared" ref="M6:M17" si="4">J6+K6-L6</f>
        <v>2792215146</v>
      </c>
      <c r="N6" s="9">
        <v>0</v>
      </c>
      <c r="O6" s="9">
        <v>2754101254</v>
      </c>
      <c r="P6" s="27">
        <f t="shared" si="3"/>
        <v>38113892</v>
      </c>
      <c r="Q6" s="9">
        <v>2754101254</v>
      </c>
      <c r="R6" s="25">
        <f t="shared" si="1"/>
        <v>0.98634994439644086</v>
      </c>
      <c r="S6" s="9">
        <v>2754101254</v>
      </c>
      <c r="T6" s="10">
        <v>2754101254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1623352427</v>
      </c>
      <c r="K7" s="9">
        <v>0</v>
      </c>
      <c r="L7" s="27">
        <v>0</v>
      </c>
      <c r="M7" s="27">
        <f t="shared" si="4"/>
        <v>1623352427</v>
      </c>
      <c r="N7" s="9">
        <v>0</v>
      </c>
      <c r="O7" s="9">
        <v>1410888888</v>
      </c>
      <c r="P7" s="27">
        <f t="shared" si="3"/>
        <v>212463539</v>
      </c>
      <c r="Q7" s="9">
        <v>1410888888</v>
      </c>
      <c r="R7" s="25">
        <f t="shared" si="1"/>
        <v>0.86912050922137807</v>
      </c>
      <c r="S7" s="9">
        <v>1410888888</v>
      </c>
      <c r="T7" s="10">
        <v>1410888888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283850373</v>
      </c>
      <c r="K8" s="9">
        <v>0</v>
      </c>
      <c r="L8" s="27">
        <v>0</v>
      </c>
      <c r="M8" s="27">
        <f t="shared" si="4"/>
        <v>283850373</v>
      </c>
      <c r="N8" s="9">
        <v>0</v>
      </c>
      <c r="O8" s="9">
        <v>266199649</v>
      </c>
      <c r="P8" s="27">
        <f t="shared" si="3"/>
        <v>17650724</v>
      </c>
      <c r="Q8" s="9">
        <v>266199649</v>
      </c>
      <c r="R8" s="25">
        <f t="shared" si="1"/>
        <v>0.93781680181198845</v>
      </c>
      <c r="S8" s="9">
        <v>266199649</v>
      </c>
      <c r="T8" s="10">
        <v>266199649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474157477</v>
      </c>
      <c r="K9" s="9">
        <v>0</v>
      </c>
      <c r="L9" s="27">
        <v>0</v>
      </c>
      <c r="M9" s="27">
        <f t="shared" si="4"/>
        <v>474157477</v>
      </c>
      <c r="N9" s="9">
        <v>0</v>
      </c>
      <c r="O9" s="9">
        <v>461759747</v>
      </c>
      <c r="P9" s="27">
        <f t="shared" si="3"/>
        <v>12397730</v>
      </c>
      <c r="Q9" s="9">
        <v>461759747</v>
      </c>
      <c r="R9" s="25">
        <f t="shared" si="1"/>
        <v>0.97385313824757003</v>
      </c>
      <c r="S9" s="9">
        <v>461759747</v>
      </c>
      <c r="T9" s="10">
        <v>461759747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6295269334</v>
      </c>
      <c r="K10" s="9">
        <v>500000000</v>
      </c>
      <c r="L10" s="27">
        <v>0</v>
      </c>
      <c r="M10" s="27">
        <f t="shared" si="4"/>
        <v>6795269334</v>
      </c>
      <c r="N10" s="9">
        <v>0</v>
      </c>
      <c r="O10" s="9">
        <v>6529934287</v>
      </c>
      <c r="P10" s="27">
        <f t="shared" si="3"/>
        <v>265335047</v>
      </c>
      <c r="Q10" s="9">
        <v>6529934287</v>
      </c>
      <c r="R10" s="25">
        <f t="shared" si="1"/>
        <v>0.96095297567200155</v>
      </c>
      <c r="S10" s="9">
        <v>6529934287</v>
      </c>
      <c r="T10" s="10">
        <v>6529934287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4502303221</v>
      </c>
      <c r="K11" s="9">
        <f>114120946+60000000</f>
        <v>174120946</v>
      </c>
      <c r="L11" s="27">
        <v>0</v>
      </c>
      <c r="M11" s="27">
        <f t="shared" si="4"/>
        <v>4676424167</v>
      </c>
      <c r="N11" s="9">
        <v>0</v>
      </c>
      <c r="O11" s="9">
        <v>4667846280</v>
      </c>
      <c r="P11" s="27">
        <f t="shared" si="3"/>
        <v>8577887</v>
      </c>
      <c r="Q11" s="9">
        <v>4667846280</v>
      </c>
      <c r="R11" s="25">
        <f t="shared" si="1"/>
        <v>0.99816571664723419</v>
      </c>
      <c r="S11" s="9">
        <v>4665893463</v>
      </c>
      <c r="T11" s="10">
        <v>4665893463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1033049061</v>
      </c>
      <c r="K12" s="9">
        <v>54845223</v>
      </c>
      <c r="L12" s="27">
        <v>0</v>
      </c>
      <c r="M12" s="27">
        <f t="shared" si="4"/>
        <v>1087894284</v>
      </c>
      <c r="N12" s="9">
        <v>0</v>
      </c>
      <c r="O12" s="9">
        <v>1068847532</v>
      </c>
      <c r="P12" s="27">
        <f t="shared" si="3"/>
        <v>19046752</v>
      </c>
      <c r="Q12" s="9">
        <v>1068847532</v>
      </c>
      <c r="R12" s="25">
        <f t="shared" si="1"/>
        <v>0.98249209295413487</v>
      </c>
      <c r="S12" s="9">
        <v>1068847532</v>
      </c>
      <c r="T12" s="10">
        <v>1068847532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15282670668</v>
      </c>
      <c r="K13" s="9">
        <v>1053551046</v>
      </c>
      <c r="L13" s="27">
        <v>500000000</v>
      </c>
      <c r="M13" s="27">
        <f t="shared" si="4"/>
        <v>15836221714</v>
      </c>
      <c r="N13" s="9">
        <v>0</v>
      </c>
      <c r="O13" s="9">
        <v>15727469775</v>
      </c>
      <c r="P13" s="27">
        <f t="shared" si="3"/>
        <v>108751939</v>
      </c>
      <c r="Q13" s="9">
        <v>15727469775</v>
      </c>
      <c r="R13" s="25">
        <f t="shared" si="1"/>
        <v>0.99313270924314867</v>
      </c>
      <c r="S13" s="9">
        <v>15721321384</v>
      </c>
      <c r="T13" s="10">
        <v>15721321384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7989233516</v>
      </c>
      <c r="K14" s="9">
        <v>0</v>
      </c>
      <c r="L14" s="27">
        <v>0</v>
      </c>
      <c r="M14" s="27">
        <f t="shared" si="4"/>
        <v>7989233516</v>
      </c>
      <c r="N14" s="9">
        <v>0</v>
      </c>
      <c r="O14" s="9">
        <v>7420562636</v>
      </c>
      <c r="P14" s="27">
        <f t="shared" si="3"/>
        <v>568670880</v>
      </c>
      <c r="Q14" s="9">
        <v>7420562636</v>
      </c>
      <c r="R14" s="25">
        <f t="shared" si="1"/>
        <v>0.92882034567382143</v>
      </c>
      <c r="S14" s="9">
        <v>7417329549</v>
      </c>
      <c r="T14" s="51">
        <v>7417329549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41227478</v>
      </c>
      <c r="K15" s="9">
        <v>0</v>
      </c>
      <c r="L15" s="27">
        <v>0</v>
      </c>
      <c r="M15" s="27">
        <f t="shared" si="4"/>
        <v>41227478</v>
      </c>
      <c r="N15" s="9">
        <v>0</v>
      </c>
      <c r="O15" s="9">
        <v>37030014</v>
      </c>
      <c r="P15" s="27">
        <f t="shared" si="3"/>
        <v>4197464</v>
      </c>
      <c r="Q15" s="9">
        <v>37030014</v>
      </c>
      <c r="R15" s="25">
        <f t="shared" si="1"/>
        <v>0.89818770869273157</v>
      </c>
      <c r="S15" s="9">
        <v>37030014</v>
      </c>
      <c r="T15" s="51">
        <v>37030014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17428752</v>
      </c>
      <c r="K16" s="9">
        <v>0</v>
      </c>
      <c r="L16" s="27">
        <v>0</v>
      </c>
      <c r="M16" s="27">
        <f t="shared" si="4"/>
        <v>17428752</v>
      </c>
      <c r="N16" s="27">
        <v>0</v>
      </c>
      <c r="O16" s="9">
        <v>17270446</v>
      </c>
      <c r="P16" s="27">
        <f t="shared" si="3"/>
        <v>158306</v>
      </c>
      <c r="Q16" s="9">
        <v>17270446</v>
      </c>
      <c r="R16" s="25">
        <f t="shared" si="1"/>
        <v>0.99091696295867882</v>
      </c>
      <c r="S16" s="9">
        <v>17270446</v>
      </c>
      <c r="T16" s="51">
        <v>17270446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12681197343</v>
      </c>
      <c r="K17" s="9">
        <v>617804203</v>
      </c>
      <c r="L17" s="27">
        <v>0</v>
      </c>
      <c r="M17" s="27">
        <f t="shared" si="4"/>
        <v>13299001546</v>
      </c>
      <c r="N17" s="9">
        <v>0</v>
      </c>
      <c r="O17" s="9">
        <v>13245549438</v>
      </c>
      <c r="P17" s="27">
        <f t="shared" si="3"/>
        <v>53452108</v>
      </c>
      <c r="Q17" s="9">
        <v>13245549438</v>
      </c>
      <c r="R17" s="25">
        <f t="shared" si="1"/>
        <v>0.99598074277868798</v>
      </c>
      <c r="S17" s="27">
        <v>13245549438</v>
      </c>
      <c r="T17" s="51">
        <v>13245549438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8">
        <v>10</v>
      </c>
      <c r="J18" s="24">
        <f>SUM(J19:J25)</f>
        <v>74102900000</v>
      </c>
      <c r="K18" s="24">
        <f t="shared" ref="K18:L18" si="5">SUM(K19:K25)</f>
        <v>12319500000</v>
      </c>
      <c r="L18" s="24">
        <f t="shared" si="5"/>
        <v>5743500000</v>
      </c>
      <c r="M18" s="24">
        <f>SUM(M19:M25)</f>
        <v>80678900000</v>
      </c>
      <c r="N18" s="14">
        <f>SUM(N19:N32)</f>
        <v>0</v>
      </c>
      <c r="O18" s="14">
        <f>SUM(O19:O25)</f>
        <v>80286616778</v>
      </c>
      <c r="P18" s="24">
        <f>SUM(P19:P25)</f>
        <v>392283222</v>
      </c>
      <c r="Q18" s="14">
        <f>SUM(Q19:Q25)</f>
        <v>80286616778</v>
      </c>
      <c r="R18" s="26">
        <f t="shared" si="1"/>
        <v>0.99513772222972796</v>
      </c>
      <c r="S18" s="14">
        <f>SUM(S19:S25)</f>
        <v>80283669678</v>
      </c>
      <c r="T18" s="22">
        <f>SUM(T19:T25)</f>
        <v>72183482766</v>
      </c>
      <c r="U18" s="107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236</v>
      </c>
      <c r="H19" s="7" t="s">
        <v>5</v>
      </c>
      <c r="I19" s="8">
        <v>10</v>
      </c>
      <c r="J19" s="9">
        <v>20955700253</v>
      </c>
      <c r="K19" s="9">
        <f>695344798+30000000</f>
        <v>725344798</v>
      </c>
      <c r="L19" s="27">
        <v>0</v>
      </c>
      <c r="M19" s="27">
        <f>J19+K19-L19</f>
        <v>21681045051</v>
      </c>
      <c r="N19" s="27">
        <v>0</v>
      </c>
      <c r="O19" s="9">
        <v>21666892900</v>
      </c>
      <c r="P19" s="27">
        <f t="shared" ref="P19:P25" si="6">+M19-O19-N19</f>
        <v>14152151</v>
      </c>
      <c r="Q19" s="9">
        <v>21666892900</v>
      </c>
      <c r="R19" s="25">
        <f t="shared" si="1"/>
        <v>0.99934725697185212</v>
      </c>
      <c r="S19" s="9">
        <v>21665751600</v>
      </c>
      <c r="T19" s="51">
        <v>21665751600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237</v>
      </c>
      <c r="H20" s="7" t="s">
        <v>5</v>
      </c>
      <c r="I20" s="8">
        <v>10</v>
      </c>
      <c r="J20" s="9">
        <v>14969608987</v>
      </c>
      <c r="K20" s="9">
        <f>277828436+5000000+500000</f>
        <v>283328436</v>
      </c>
      <c r="L20" s="27">
        <v>0</v>
      </c>
      <c r="M20" s="27">
        <f t="shared" ref="M20:M24" si="7">J20+K20-L20</f>
        <v>15252937423</v>
      </c>
      <c r="N20" s="9">
        <v>0</v>
      </c>
      <c r="O20" s="9">
        <v>15252710000</v>
      </c>
      <c r="P20" s="27">
        <f t="shared" si="6"/>
        <v>227423</v>
      </c>
      <c r="Q20" s="9">
        <v>15252710000</v>
      </c>
      <c r="R20" s="25">
        <f t="shared" si="1"/>
        <v>0.99998508988834789</v>
      </c>
      <c r="S20" s="9">
        <v>15251879000</v>
      </c>
      <c r="T20" s="51">
        <v>15251879000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111</v>
      </c>
      <c r="H21" s="7" t="s">
        <v>5</v>
      </c>
      <c r="I21" s="8">
        <v>10</v>
      </c>
      <c r="J21" s="9">
        <v>17568434375</v>
      </c>
      <c r="K21" s="9">
        <f>5234729418+500000000</f>
        <v>5734729418</v>
      </c>
      <c r="L21" s="27">
        <v>5200000000</v>
      </c>
      <c r="M21" s="27">
        <f t="shared" si="7"/>
        <v>18103163793</v>
      </c>
      <c r="N21" s="9">
        <v>0</v>
      </c>
      <c r="O21" s="9">
        <v>18098790078</v>
      </c>
      <c r="P21" s="27">
        <f t="shared" si="6"/>
        <v>4373715</v>
      </c>
      <c r="Q21" s="9">
        <v>18098790078</v>
      </c>
      <c r="R21" s="25">
        <f t="shared" si="1"/>
        <v>0.99975840051772102</v>
      </c>
      <c r="S21" s="9">
        <v>18098790078</v>
      </c>
      <c r="T21" s="51">
        <v>9998603166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238</v>
      </c>
      <c r="H22" s="7" t="s">
        <v>5</v>
      </c>
      <c r="I22" s="8">
        <v>10</v>
      </c>
      <c r="J22" s="9">
        <v>7492866412</v>
      </c>
      <c r="K22" s="9">
        <f>278140786+5000000</f>
        <v>283140786</v>
      </c>
      <c r="L22" s="27">
        <v>0</v>
      </c>
      <c r="M22" s="27">
        <f t="shared" si="7"/>
        <v>7776007198</v>
      </c>
      <c r="N22" s="9">
        <v>0</v>
      </c>
      <c r="O22" s="9">
        <v>7774065500</v>
      </c>
      <c r="P22" s="27">
        <f t="shared" si="6"/>
        <v>1941698</v>
      </c>
      <c r="Q22" s="9">
        <v>7774065500</v>
      </c>
      <c r="R22" s="25">
        <f t="shared" si="1"/>
        <v>0.99975029627023759</v>
      </c>
      <c r="S22" s="9">
        <v>7773647700</v>
      </c>
      <c r="T22" s="51">
        <v>7773647700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3401416833</v>
      </c>
      <c r="K23" s="9">
        <v>5200000000</v>
      </c>
      <c r="L23" s="27">
        <f>543000000+500000</f>
        <v>543500000</v>
      </c>
      <c r="M23" s="27">
        <f t="shared" si="7"/>
        <v>8057916833</v>
      </c>
      <c r="N23" s="9">
        <v>0</v>
      </c>
      <c r="O23" s="9">
        <v>7775477000</v>
      </c>
      <c r="P23" s="27">
        <f t="shared" si="6"/>
        <v>282439833</v>
      </c>
      <c r="Q23" s="9">
        <v>7775477000</v>
      </c>
      <c r="R23" s="25">
        <f t="shared" si="1"/>
        <v>0.96494877784748168</v>
      </c>
      <c r="S23" s="9">
        <v>7775442200</v>
      </c>
      <c r="T23" s="51">
        <v>7775442200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5918659304</v>
      </c>
      <c r="K24" s="9">
        <v>0</v>
      </c>
      <c r="L24" s="27">
        <v>0</v>
      </c>
      <c r="M24" s="27">
        <f t="shared" si="7"/>
        <v>5918659304</v>
      </c>
      <c r="N24" s="9">
        <v>0</v>
      </c>
      <c r="O24" s="9">
        <v>5830969900</v>
      </c>
      <c r="P24" s="27">
        <f t="shared" si="6"/>
        <v>87689404</v>
      </c>
      <c r="Q24" s="9">
        <v>5830969900</v>
      </c>
      <c r="R24" s="25">
        <f t="shared" si="1"/>
        <v>0.98518424536774118</v>
      </c>
      <c r="S24" s="9">
        <v>5830656600</v>
      </c>
      <c r="T24" s="51">
        <v>5830656600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3796213836</v>
      </c>
      <c r="K25" s="9">
        <f>89956562+3000000</f>
        <v>92956562</v>
      </c>
      <c r="L25" s="27">
        <v>0</v>
      </c>
      <c r="M25" s="27">
        <f>J25+K25-L25</f>
        <v>3889170398</v>
      </c>
      <c r="N25" s="9">
        <v>0</v>
      </c>
      <c r="O25" s="9">
        <v>3887711400</v>
      </c>
      <c r="P25" s="27">
        <f t="shared" si="6"/>
        <v>1458998</v>
      </c>
      <c r="Q25" s="9">
        <v>3887711400</v>
      </c>
      <c r="R25" s="25">
        <f t="shared" si="1"/>
        <v>0.9996248562416421</v>
      </c>
      <c r="S25" s="9">
        <v>3887502500</v>
      </c>
      <c r="T25" s="51">
        <v>3887502500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13659700000</v>
      </c>
      <c r="K26" s="24">
        <f t="shared" ref="K26:L26" si="8">K27+K28+K29+K30+K31+K32</f>
        <v>1624000000</v>
      </c>
      <c r="L26" s="24">
        <f t="shared" si="8"/>
        <v>127000000</v>
      </c>
      <c r="M26" s="24">
        <f>M27+M28+M29+M30+M31+M32</f>
        <v>15156700000</v>
      </c>
      <c r="N26" s="14">
        <v>0</v>
      </c>
      <c r="O26" s="14">
        <f>O27+O28+O29+O30+O31+O32</f>
        <v>15113765081</v>
      </c>
      <c r="P26" s="24">
        <f>P27+P28+P29+P30+P31+P32</f>
        <v>42934919</v>
      </c>
      <c r="Q26" s="14">
        <f>Q27+Q28+Q29+Q30+Q31+Q32</f>
        <v>15113765081</v>
      </c>
      <c r="R26" s="26">
        <f t="shared" si="1"/>
        <v>0.99716726470801686</v>
      </c>
      <c r="S26" s="24">
        <f>S27+S28+S29+S30+S31+S32</f>
        <v>15108004638</v>
      </c>
      <c r="T26" s="22">
        <f>T27+T28+T29+T30+T31+T32</f>
        <v>15108004638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143</v>
      </c>
      <c r="H27" s="7" t="s">
        <v>5</v>
      </c>
      <c r="I27" s="8" t="s">
        <v>6</v>
      </c>
      <c r="J27" s="9">
        <v>10877487708</v>
      </c>
      <c r="K27" s="9">
        <v>1132395094</v>
      </c>
      <c r="L27" s="27">
        <f>100000000+27000000</f>
        <v>127000000</v>
      </c>
      <c r="M27" s="27">
        <f>J27+K27-L27</f>
        <v>11882882802</v>
      </c>
      <c r="N27" s="9">
        <v>0</v>
      </c>
      <c r="O27" s="9">
        <v>11867422083</v>
      </c>
      <c r="P27" s="27">
        <f t="shared" ref="P27:P32" si="9">+M27-O27-N27</f>
        <v>15460719</v>
      </c>
      <c r="Q27" s="9">
        <v>11867422083</v>
      </c>
      <c r="R27" s="25">
        <f t="shared" si="1"/>
        <v>0.99869890839978681</v>
      </c>
      <c r="S27" s="9">
        <v>11867422083</v>
      </c>
      <c r="T27" s="51">
        <v>11867422083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361988938</v>
      </c>
      <c r="K28" s="9">
        <f>100000000+90490346</f>
        <v>190490346</v>
      </c>
      <c r="L28" s="27">
        <v>0</v>
      </c>
      <c r="M28" s="27">
        <f t="shared" ref="M28:M32" si="10">J28+K28-L28</f>
        <v>552479284</v>
      </c>
      <c r="N28" s="9">
        <v>0</v>
      </c>
      <c r="O28" s="9">
        <v>536626302</v>
      </c>
      <c r="P28" s="27">
        <f t="shared" si="9"/>
        <v>15852982</v>
      </c>
      <c r="Q28" s="9">
        <v>536626302</v>
      </c>
      <c r="R28" s="25">
        <f t="shared" si="1"/>
        <v>0.97130574401772507</v>
      </c>
      <c r="S28" s="9">
        <v>531237824</v>
      </c>
      <c r="T28" s="51">
        <v>531237824</v>
      </c>
    </row>
    <row r="29" spans="1:21" s="6" customFormat="1" ht="16.5" customHeight="1" x14ac:dyDescent="0.25">
      <c r="A29" s="7" t="s">
        <v>3</v>
      </c>
      <c r="B29" s="7">
        <v>1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710252976</v>
      </c>
      <c r="K29" s="9">
        <f>130094052+15000000</f>
        <v>145094052</v>
      </c>
      <c r="L29" s="27">
        <v>0</v>
      </c>
      <c r="M29" s="27">
        <f t="shared" si="10"/>
        <v>855347028</v>
      </c>
      <c r="N29" s="9">
        <v>0</v>
      </c>
      <c r="O29" s="9">
        <v>851570508</v>
      </c>
      <c r="P29" s="27">
        <f t="shared" si="9"/>
        <v>3776520</v>
      </c>
      <c r="Q29" s="9">
        <v>851570508</v>
      </c>
      <c r="R29" s="25">
        <f t="shared" si="1"/>
        <v>0.99558480958444384</v>
      </c>
      <c r="S29" s="9">
        <v>851198543</v>
      </c>
      <c r="T29" s="51">
        <v>851198543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421817495</v>
      </c>
      <c r="K30" s="9">
        <f>8861917+12000000</f>
        <v>20861917</v>
      </c>
      <c r="L30" s="27">
        <v>0</v>
      </c>
      <c r="M30" s="27">
        <f t="shared" si="10"/>
        <v>442679412</v>
      </c>
      <c r="N30" s="9">
        <v>0</v>
      </c>
      <c r="O30" s="9">
        <v>441733890</v>
      </c>
      <c r="P30" s="27">
        <f t="shared" si="9"/>
        <v>945522</v>
      </c>
      <c r="Q30" s="9">
        <v>441733890</v>
      </c>
      <c r="R30" s="25">
        <f t="shared" si="1"/>
        <v>0.99786409312389712</v>
      </c>
      <c r="S30" s="9">
        <v>441733890</v>
      </c>
      <c r="T30" s="51">
        <v>441733890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1200108736</v>
      </c>
      <c r="K31" s="9">
        <v>134575098</v>
      </c>
      <c r="L31" s="27">
        <v>0</v>
      </c>
      <c r="M31" s="27">
        <f t="shared" si="10"/>
        <v>1334683834</v>
      </c>
      <c r="N31" s="9">
        <v>0</v>
      </c>
      <c r="O31" s="9">
        <v>1327784658</v>
      </c>
      <c r="P31" s="27">
        <f t="shared" si="9"/>
        <v>6899176</v>
      </c>
      <c r="Q31" s="9">
        <v>1327784658</v>
      </c>
      <c r="R31" s="25">
        <f t="shared" si="1"/>
        <v>0.99483085370164148</v>
      </c>
      <c r="S31" s="9">
        <v>1327784658</v>
      </c>
      <c r="T31" s="51">
        <v>1327784658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88044147</v>
      </c>
      <c r="K32" s="9">
        <v>583493</v>
      </c>
      <c r="L32" s="27">
        <v>0</v>
      </c>
      <c r="M32" s="27">
        <f t="shared" si="10"/>
        <v>88627640</v>
      </c>
      <c r="N32" s="9">
        <v>0</v>
      </c>
      <c r="O32" s="9">
        <v>88627640</v>
      </c>
      <c r="P32" s="27">
        <f t="shared" si="9"/>
        <v>0</v>
      </c>
      <c r="Q32" s="9">
        <v>88627640</v>
      </c>
      <c r="R32" s="25">
        <f t="shared" si="1"/>
        <v>1</v>
      </c>
      <c r="S32" s="9">
        <v>88627640</v>
      </c>
      <c r="T32" s="51">
        <v>88627640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273375100000</v>
      </c>
      <c r="K33" s="64">
        <f t="shared" ref="K33:L33" si="11">K3</f>
        <v>25278500000</v>
      </c>
      <c r="L33" s="64">
        <f t="shared" si="11"/>
        <v>6430500000</v>
      </c>
      <c r="M33" s="64">
        <f>M3</f>
        <v>292223100000</v>
      </c>
      <c r="N33" s="64">
        <f>N3</f>
        <v>0</v>
      </c>
      <c r="O33" s="64">
        <f>O3</f>
        <v>289413188388</v>
      </c>
      <c r="P33" s="64">
        <f>P3</f>
        <v>2809911612</v>
      </c>
      <c r="Q33" s="64">
        <f>Q3</f>
        <v>289413188388</v>
      </c>
      <c r="R33" s="76">
        <f>IF(Q33&gt;1,Q33/(M33-N33),0)</f>
        <v>0.99038436177016809</v>
      </c>
      <c r="S33" s="64">
        <f>S3</f>
        <v>289393146550</v>
      </c>
      <c r="T33" s="73">
        <f>T3</f>
        <v>281292959638</v>
      </c>
      <c r="U33" s="106"/>
    </row>
    <row r="34" spans="1:21" ht="15" customHeight="1" thickBot="1" x14ac:dyDescent="0.3">
      <c r="A34" s="132" t="s">
        <v>25</v>
      </c>
      <c r="B34" s="133"/>
      <c r="C34" s="133"/>
      <c r="D34" s="133"/>
      <c r="E34" s="133"/>
      <c r="F34" s="133"/>
      <c r="G34" s="133"/>
      <c r="H34" s="133"/>
      <c r="I34" s="134"/>
      <c r="J34" s="77">
        <f>J33</f>
        <v>273375100000</v>
      </c>
      <c r="K34" s="77">
        <f t="shared" ref="K34:L34" si="12">K33</f>
        <v>25278500000</v>
      </c>
      <c r="L34" s="77">
        <f t="shared" si="12"/>
        <v>6430500000</v>
      </c>
      <c r="M34" s="77">
        <f t="shared" ref="M34:T34" si="13">M33</f>
        <v>292223100000</v>
      </c>
      <c r="N34" s="77">
        <f t="shared" si="13"/>
        <v>0</v>
      </c>
      <c r="O34" s="77">
        <f t="shared" si="13"/>
        <v>289413188388</v>
      </c>
      <c r="P34" s="77">
        <f t="shared" si="13"/>
        <v>2809911612</v>
      </c>
      <c r="Q34" s="77">
        <f t="shared" si="13"/>
        <v>289413188388</v>
      </c>
      <c r="R34" s="76">
        <f t="shared" si="1"/>
        <v>0.99038436177016809</v>
      </c>
      <c r="S34" s="77">
        <f t="shared" si="13"/>
        <v>289393146550</v>
      </c>
      <c r="T34" s="78">
        <f t="shared" si="13"/>
        <v>281292959638</v>
      </c>
    </row>
    <row r="35" spans="1:21" ht="15.75" customHeight="1" thickBot="1" x14ac:dyDescent="0.3">
      <c r="A35" s="126" t="s">
        <v>107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8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</f>
        <v>1509635371</v>
      </c>
      <c r="K36" s="48">
        <f t="shared" ref="K36:Q36" si="14">K37+K38+K39+K40+K41+K42+K43</f>
        <v>1276538604</v>
      </c>
      <c r="L36" s="48">
        <f t="shared" si="14"/>
        <v>880960228.34000003</v>
      </c>
      <c r="M36" s="48">
        <f t="shared" si="14"/>
        <v>1905213746.6599998</v>
      </c>
      <c r="N36" s="48">
        <f t="shared" si="14"/>
        <v>0</v>
      </c>
      <c r="O36" s="48">
        <f t="shared" si="14"/>
        <v>1361229682.25</v>
      </c>
      <c r="P36" s="48">
        <f>P37+P38+P39+P40+P41+P42+P43</f>
        <v>543984064.41000009</v>
      </c>
      <c r="Q36" s="48">
        <f t="shared" si="14"/>
        <v>1361229682.25</v>
      </c>
      <c r="R36" s="62">
        <f t="shared" ref="R36:R80" si="15">IF(Q36&gt;1,Q36/(M36-N36),0)</f>
        <v>0.71447609730737571</v>
      </c>
      <c r="S36" s="48">
        <f>S37+S38+S39+S40+S42+S41+S43</f>
        <v>304535777</v>
      </c>
      <c r="T36" s="48">
        <f>T37+T38+T39+T40+T42+T41+T43</f>
        <v>304535777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145</v>
      </c>
      <c r="H37" s="7" t="s">
        <v>5</v>
      </c>
      <c r="I37" s="8">
        <v>10</v>
      </c>
      <c r="J37" s="44">
        <v>27595412</v>
      </c>
      <c r="K37" s="44">
        <f>26221172+4647724+58000000+58000000+56028932+63459820+15147576+14944029+260671+2917880</f>
        <v>299627804</v>
      </c>
      <c r="L37" s="44">
        <f>1184912+1000000+23255144+241370+5216236+2700000+4959820+1857552+3361652.34+36000+15000000+3650000+4000000+1000000</f>
        <v>67462686.340000004</v>
      </c>
      <c r="M37" s="44">
        <f>J37+K37-L37</f>
        <v>259760529.66</v>
      </c>
      <c r="N37" s="44"/>
      <c r="O37" s="44">
        <v>227452605</v>
      </c>
      <c r="P37" s="27">
        <f t="shared" ref="P37:P43" si="16">+M37-O37-N37</f>
        <v>32307924.659999996</v>
      </c>
      <c r="Q37" s="27">
        <v>227452605</v>
      </c>
      <c r="R37" s="69">
        <f>IF(Q37&gt;1,Q37/(M37-N37),0)</f>
        <v>0.87562419624610499</v>
      </c>
      <c r="S37" s="44">
        <v>77090302</v>
      </c>
      <c r="T37" s="70">
        <v>77090302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112</v>
      </c>
      <c r="H38" s="7" t="s">
        <v>5</v>
      </c>
      <c r="I38" s="8">
        <v>10</v>
      </c>
      <c r="J38" s="44">
        <v>19500000</v>
      </c>
      <c r="K38" s="44">
        <f>90578039+1432671+82000000+43000000+1163006+10504084+3311668+302293+3596000</f>
        <v>235887761</v>
      </c>
      <c r="L38" s="44">
        <f>2380000+7343039+326501+260671+3311668+61429</f>
        <v>13683308</v>
      </c>
      <c r="M38" s="44">
        <f t="shared" ref="M38:M43" si="17">J38+K38-L38</f>
        <v>241704453</v>
      </c>
      <c r="N38" s="44"/>
      <c r="O38" s="44">
        <v>238016019.44999999</v>
      </c>
      <c r="P38" s="27">
        <f t="shared" si="16"/>
        <v>3688433.5500000119</v>
      </c>
      <c r="Q38" s="27">
        <v>238016019.44999999</v>
      </c>
      <c r="R38" s="69">
        <f t="shared" si="15"/>
        <v>0.98473990237159592</v>
      </c>
      <c r="S38" s="44">
        <v>130824000</v>
      </c>
      <c r="T38" s="70">
        <v>130824000</v>
      </c>
      <c r="U38" s="106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113</v>
      </c>
      <c r="H39" s="7" t="s">
        <v>5</v>
      </c>
      <c r="I39" s="8">
        <v>10</v>
      </c>
      <c r="J39" s="44">
        <v>15000000</v>
      </c>
      <c r="K39" s="44">
        <f>18000000+6266254+13243000+4777850</f>
        <v>42287104</v>
      </c>
      <c r="L39" s="44">
        <f>10000+490000+6266254+1119790+1580764</f>
        <v>9466808</v>
      </c>
      <c r="M39" s="44">
        <f t="shared" si="17"/>
        <v>47820296</v>
      </c>
      <c r="N39" s="44"/>
      <c r="O39" s="44">
        <v>47820296</v>
      </c>
      <c r="P39" s="27">
        <f t="shared" si="16"/>
        <v>0</v>
      </c>
      <c r="Q39" s="27">
        <v>47820296</v>
      </c>
      <c r="R39" s="69">
        <f t="shared" si="15"/>
        <v>1</v>
      </c>
      <c r="S39" s="44">
        <v>43042446</v>
      </c>
      <c r="T39" s="70">
        <v>43042446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125</v>
      </c>
      <c r="H40" s="7" t="s">
        <v>5</v>
      </c>
      <c r="I40" s="8">
        <v>10</v>
      </c>
      <c r="J40" s="44">
        <v>1435539959</v>
      </c>
      <c r="K40" s="44">
        <f>611696735+27350000</f>
        <v>639046735</v>
      </c>
      <c r="L40" s="44">
        <f>150193000+325050000+37957000+5000000+133384600+61209402+607000+66800000</f>
        <v>780201002</v>
      </c>
      <c r="M40" s="44">
        <f>J40+K40-L40</f>
        <v>1294385692</v>
      </c>
      <c r="N40" s="115">
        <v>0</v>
      </c>
      <c r="O40" s="44">
        <v>786856602.79999995</v>
      </c>
      <c r="P40" s="27">
        <f>+M40-O40-N40</f>
        <v>507529089.20000005</v>
      </c>
      <c r="Q40" s="27">
        <v>786856602.79999995</v>
      </c>
      <c r="R40" s="69">
        <f t="shared" si="15"/>
        <v>0.60789964510825256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126</v>
      </c>
      <c r="H41" s="7" t="s">
        <v>5</v>
      </c>
      <c r="I41" s="8">
        <v>10</v>
      </c>
      <c r="J41" s="44"/>
      <c r="K41" s="44">
        <v>4800000</v>
      </c>
      <c r="L41" s="44">
        <f>3853073+548000</f>
        <v>4401073</v>
      </c>
      <c r="M41" s="44">
        <f t="shared" si="17"/>
        <v>398927</v>
      </c>
      <c r="N41" s="44"/>
      <c r="O41" s="44">
        <v>398860</v>
      </c>
      <c r="P41" s="27">
        <f>+M41-O41-N41</f>
        <v>67</v>
      </c>
      <c r="Q41" s="27">
        <v>398860</v>
      </c>
      <c r="R41" s="69">
        <f t="shared" si="15"/>
        <v>0.99983204947271054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127</v>
      </c>
      <c r="H42" s="7" t="s">
        <v>5</v>
      </c>
      <c r="I42" s="8">
        <v>10</v>
      </c>
      <c r="J42" s="44">
        <v>10000000</v>
      </c>
      <c r="K42" s="44">
        <v>0</v>
      </c>
      <c r="L42" s="44">
        <f>331621</f>
        <v>331621</v>
      </c>
      <c r="M42" s="44">
        <f t="shared" si="17"/>
        <v>9668379</v>
      </c>
      <c r="N42" s="44"/>
      <c r="O42" s="44">
        <v>9668379</v>
      </c>
      <c r="P42" s="27">
        <f t="shared" si="16"/>
        <v>0</v>
      </c>
      <c r="Q42" s="27">
        <v>9668379</v>
      </c>
      <c r="R42" s="69">
        <f t="shared" si="15"/>
        <v>1</v>
      </c>
      <c r="S42" s="44">
        <v>9668379</v>
      </c>
      <c r="T42" s="70">
        <v>9668379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147</v>
      </c>
      <c r="H43" s="7" t="s">
        <v>5</v>
      </c>
      <c r="I43" s="8">
        <v>10</v>
      </c>
      <c r="J43" s="44">
        <v>2000000</v>
      </c>
      <c r="K43" s="44">
        <f>1120000+12500000+30277922+10991278</f>
        <v>54889200</v>
      </c>
      <c r="L43" s="44">
        <f>20000+5393730</f>
        <v>5413730</v>
      </c>
      <c r="M43" s="44">
        <f t="shared" si="17"/>
        <v>51475470</v>
      </c>
      <c r="N43" s="44"/>
      <c r="O43" s="44">
        <v>51016920</v>
      </c>
      <c r="P43" s="27">
        <f t="shared" si="16"/>
        <v>458550</v>
      </c>
      <c r="Q43" s="27">
        <v>51016920</v>
      </c>
      <c r="R43" s="69">
        <f t="shared" si="15"/>
        <v>0.99109187346905236</v>
      </c>
      <c r="S43" s="44">
        <v>43910650</v>
      </c>
      <c r="T43" s="70">
        <v>43910650</v>
      </c>
    </row>
    <row r="44" spans="1:21" s="47" customFormat="1" ht="15" customHeight="1" x14ac:dyDescent="0.25">
      <c r="A44" s="90" t="s">
        <v>3</v>
      </c>
      <c r="B44" s="11" t="s">
        <v>50</v>
      </c>
      <c r="C44" s="11" t="s">
        <v>50</v>
      </c>
      <c r="D44" s="11"/>
      <c r="E44" s="11"/>
      <c r="F44" s="49"/>
      <c r="G44" s="12" t="s">
        <v>80</v>
      </c>
      <c r="H44" s="11" t="s">
        <v>5</v>
      </c>
      <c r="I44" s="13">
        <v>10</v>
      </c>
      <c r="J44" s="48">
        <f>J47+J49+J50+J52+J53+J54+J55+J56+J57+J58+J59+J60+J61+J62+J65+J66+J67+J68+J69+J70+J71+J73+J74+J77+J78+J79+J80+J81+J82+J83+J84+J85+J86+J87+J88+J51+J63+J64+J72</f>
        <v>40216964629</v>
      </c>
      <c r="K44" s="48">
        <f t="shared" ref="K44:Q44" si="18">K47+K48+K49+K50+K52+K53+K54+K55+K56+K57+K58+K59+K60+K61+K62+K65+K66+K67+K68+K69+K70+K71+K73+K74+K77+K78+K79+K80+K81+K82+K83+K84+K85+K86+K87+K88+K51+K63+K64+K72</f>
        <v>5066903230.9200001</v>
      </c>
      <c r="L44" s="48">
        <f t="shared" si="18"/>
        <v>8813681606.5799999</v>
      </c>
      <c r="M44" s="48">
        <f t="shared" si="18"/>
        <v>36470186253.339996</v>
      </c>
      <c r="N44" s="48">
        <f t="shared" si="18"/>
        <v>0</v>
      </c>
      <c r="O44" s="48">
        <f t="shared" si="18"/>
        <v>36011891509.659996</v>
      </c>
      <c r="P44" s="48">
        <f t="shared" si="18"/>
        <v>458294743.68000108</v>
      </c>
      <c r="Q44" s="48">
        <f t="shared" si="18"/>
        <v>36011891509.659996</v>
      </c>
      <c r="R44" s="62">
        <f>IF(Q44&gt;1,Q44/(M44-N44),0)</f>
        <v>0.98743371529565394</v>
      </c>
      <c r="S44" s="24">
        <f>S47+S48+S49+S50+S52+S53+S54+S55+S56+S57+S58+S59+S60+S61+S62+S65+S66+S67+S68+S69+S70+S71+S73+S74+S77+S78+S79+S80+S81+S82+S83+S84+S85+S86+S87+S88+S51+S63+S64+S72</f>
        <v>32874714356.77</v>
      </c>
      <c r="T44" s="24">
        <f>T47+T48+T49+T50+T52+T53+T54+T55+T56+T57+T58+T59+T60+T61+T62+T65+T66+T67+T68+T69+T70+T71+T73+T74+T77+T78+T79+T80+T81+T82+T83+T84+T85+T86+T87+T88+T51+T63+T64+T72</f>
        <v>32873318768.77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8</v>
      </c>
      <c r="I45" s="13">
        <v>20</v>
      </c>
      <c r="J45" s="48">
        <f>J75</f>
        <v>786000000</v>
      </c>
      <c r="K45" s="48">
        <f t="shared" ref="K45:L45" si="19">K75</f>
        <v>0</v>
      </c>
      <c r="L45" s="48">
        <f t="shared" si="19"/>
        <v>0</v>
      </c>
      <c r="M45" s="48">
        <f>M75</f>
        <v>786000000</v>
      </c>
      <c r="N45" s="48">
        <f t="shared" ref="N45:Q46" si="20">N75</f>
        <v>0</v>
      </c>
      <c r="O45" s="48">
        <f t="shared" si="20"/>
        <v>786000000</v>
      </c>
      <c r="P45" s="24">
        <f t="shared" si="20"/>
        <v>0</v>
      </c>
      <c r="Q45" s="24">
        <f t="shared" si="20"/>
        <v>786000000</v>
      </c>
      <c r="R45" s="62">
        <f t="shared" si="15"/>
        <v>1</v>
      </c>
      <c r="S45" s="48">
        <f>S75</f>
        <v>786000000</v>
      </c>
      <c r="T45" s="68">
        <f>T75</f>
        <v>786000000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21</v>
      </c>
      <c r="J46" s="48">
        <f>J76</f>
        <v>391600000</v>
      </c>
      <c r="K46" s="48">
        <f t="shared" ref="K46:L46" si="21">K76</f>
        <v>0</v>
      </c>
      <c r="L46" s="48">
        <f t="shared" si="21"/>
        <v>0</v>
      </c>
      <c r="M46" s="48">
        <f>M76</f>
        <v>391600000</v>
      </c>
      <c r="N46" s="48">
        <f t="shared" si="20"/>
        <v>0</v>
      </c>
      <c r="O46" s="48">
        <f>O76</f>
        <v>391600000</v>
      </c>
      <c r="P46" s="24">
        <f>P76</f>
        <v>0</v>
      </c>
      <c r="Q46" s="24">
        <f>Q76</f>
        <v>391600000</v>
      </c>
      <c r="R46" s="62">
        <f t="shared" si="15"/>
        <v>1</v>
      </c>
      <c r="S46" s="48">
        <f>S76</f>
        <v>391600000</v>
      </c>
      <c r="T46" s="68">
        <f>T76</f>
        <v>391600000</v>
      </c>
    </row>
    <row r="47" spans="1:21" s="47" customFormat="1" ht="15" customHeight="1" x14ac:dyDescent="0.25">
      <c r="A47" s="91" t="s">
        <v>3</v>
      </c>
      <c r="B47" s="7" t="s">
        <v>50</v>
      </c>
      <c r="C47" s="7" t="s">
        <v>50</v>
      </c>
      <c r="D47" s="7" t="s">
        <v>34</v>
      </c>
      <c r="E47" s="65" t="s">
        <v>35</v>
      </c>
      <c r="F47" s="65" t="s">
        <v>42</v>
      </c>
      <c r="G47" s="23" t="s">
        <v>243</v>
      </c>
      <c r="H47" s="7" t="s">
        <v>5</v>
      </c>
      <c r="I47" s="8">
        <v>10</v>
      </c>
      <c r="J47" s="48"/>
      <c r="K47" s="44">
        <v>700000</v>
      </c>
      <c r="L47" s="44">
        <f>700000</f>
        <v>700000</v>
      </c>
      <c r="M47" s="44">
        <f>J47+K47-L47</f>
        <v>0</v>
      </c>
      <c r="N47" s="48">
        <v>0</v>
      </c>
      <c r="O47" s="44">
        <v>0</v>
      </c>
      <c r="P47" s="27">
        <f t="shared" ref="P47:P88" si="22">+M47-O47-N47</f>
        <v>0</v>
      </c>
      <c r="Q47" s="27">
        <v>0</v>
      </c>
      <c r="R47" s="69">
        <f t="shared" ref="R47:R48" si="23">IF(Q47&gt;1,Q47/(M47-N47),0)</f>
        <v>0</v>
      </c>
      <c r="S47" s="44">
        <v>0</v>
      </c>
      <c r="T47" s="70">
        <v>0</v>
      </c>
    </row>
    <row r="48" spans="1:21" s="47" customFormat="1" ht="1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35</v>
      </c>
      <c r="F48" s="65" t="s">
        <v>43</v>
      </c>
      <c r="G48" s="108" t="s">
        <v>249</v>
      </c>
      <c r="H48" s="7" t="s">
        <v>5</v>
      </c>
      <c r="I48" s="8">
        <v>10</v>
      </c>
      <c r="J48" s="48">
        <v>0</v>
      </c>
      <c r="K48" s="44">
        <v>299460</v>
      </c>
      <c r="L48" s="44"/>
      <c r="M48" s="44">
        <f>J48+K48-L48</f>
        <v>299460</v>
      </c>
      <c r="N48" s="48">
        <v>0</v>
      </c>
      <c r="O48" s="44">
        <v>299460</v>
      </c>
      <c r="P48" s="27">
        <f t="shared" ref="P48" si="24">+M48-O48-N48</f>
        <v>0</v>
      </c>
      <c r="Q48" s="27">
        <v>299460</v>
      </c>
      <c r="R48" s="69">
        <f t="shared" si="23"/>
        <v>1</v>
      </c>
      <c r="S48" s="44">
        <v>0</v>
      </c>
      <c r="T48" s="70">
        <v>0</v>
      </c>
    </row>
    <row r="49" spans="1:20" s="6" customFormat="1" ht="32.25" customHeigh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65" t="s">
        <v>37</v>
      </c>
      <c r="F49" s="7" t="s">
        <v>39</v>
      </c>
      <c r="G49" s="23" t="s">
        <v>114</v>
      </c>
      <c r="H49" s="7" t="s">
        <v>5</v>
      </c>
      <c r="I49" s="8">
        <v>10</v>
      </c>
      <c r="J49" s="44">
        <v>6000000</v>
      </c>
      <c r="K49" s="44">
        <v>0</v>
      </c>
      <c r="L49" s="44">
        <f>3834</f>
        <v>3834</v>
      </c>
      <c r="M49" s="44">
        <f>J49+K49-L49</f>
        <v>5996166</v>
      </c>
      <c r="N49" s="44">
        <v>0</v>
      </c>
      <c r="O49" s="44">
        <v>5996166</v>
      </c>
      <c r="P49" s="27">
        <f t="shared" si="22"/>
        <v>0</v>
      </c>
      <c r="Q49" s="9">
        <v>5996166</v>
      </c>
      <c r="R49" s="25">
        <f t="shared" si="15"/>
        <v>1</v>
      </c>
      <c r="S49" s="9">
        <v>5996166</v>
      </c>
      <c r="T49" s="10">
        <v>5996166</v>
      </c>
    </row>
    <row r="50" spans="1:20" s="6" customFormat="1" ht="32.25" customHeigh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5" t="s">
        <v>43</v>
      </c>
      <c r="G50" s="23" t="s">
        <v>146</v>
      </c>
      <c r="H50" s="7" t="s">
        <v>5</v>
      </c>
      <c r="I50" s="8">
        <v>10</v>
      </c>
      <c r="J50" s="44">
        <v>1200000</v>
      </c>
      <c r="K50" s="44">
        <f>13725460+3431365</f>
        <v>17156825</v>
      </c>
      <c r="L50" s="44">
        <f>1200000</f>
        <v>1200000</v>
      </c>
      <c r="M50" s="44">
        <f t="shared" ref="M50:M88" si="25">J50+K50-L50</f>
        <v>17156825</v>
      </c>
      <c r="N50" s="44">
        <v>0</v>
      </c>
      <c r="O50" s="44">
        <v>17156825</v>
      </c>
      <c r="P50" s="27">
        <f t="shared" si="22"/>
        <v>0</v>
      </c>
      <c r="Q50" s="9">
        <v>17156825</v>
      </c>
      <c r="R50" s="25">
        <f t="shared" si="15"/>
        <v>1</v>
      </c>
      <c r="S50" s="9">
        <v>0</v>
      </c>
      <c r="T50" s="10">
        <v>0</v>
      </c>
    </row>
    <row r="51" spans="1:20" s="6" customFormat="1" ht="32.25" customHeight="1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65" t="s">
        <v>44</v>
      </c>
      <c r="G51" s="23" t="s">
        <v>242</v>
      </c>
      <c r="H51" s="7" t="s">
        <v>5</v>
      </c>
      <c r="I51" s="8">
        <v>10</v>
      </c>
      <c r="J51" s="44">
        <v>0</v>
      </c>
      <c r="K51" s="44">
        <f>35000000+48650+1000000+4132771+287087+3852800+1200000+4203250+1119790+12685400</f>
        <v>63529748</v>
      </c>
      <c r="L51" s="44">
        <f>33635000+15000+350+252680+2821458</f>
        <v>36724488</v>
      </c>
      <c r="M51" s="44">
        <f t="shared" ref="M51" si="26">J51+K51-L51</f>
        <v>26805260</v>
      </c>
      <c r="N51" s="44">
        <v>0</v>
      </c>
      <c r="O51" s="44">
        <v>26805260</v>
      </c>
      <c r="P51" s="109">
        <f>+M51-O51-N51</f>
        <v>0</v>
      </c>
      <c r="Q51" s="9">
        <v>26805260</v>
      </c>
      <c r="R51" s="25">
        <f t="shared" ref="R51" si="27">IF(Q51&gt;1,Q51/(M51-N51),0)</f>
        <v>1</v>
      </c>
      <c r="S51" s="9">
        <v>12521459.699999999</v>
      </c>
      <c r="T51" s="10">
        <v>12521459.699999999</v>
      </c>
    </row>
    <row r="52" spans="1:20" s="6" customFormat="1" ht="16.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37</v>
      </c>
      <c r="F52" s="7" t="s">
        <v>45</v>
      </c>
      <c r="G52" s="23" t="s">
        <v>115</v>
      </c>
      <c r="H52" s="7" t="s">
        <v>5</v>
      </c>
      <c r="I52" s="8" t="s">
        <v>6</v>
      </c>
      <c r="J52" s="44">
        <v>498366950</v>
      </c>
      <c r="K52" s="44">
        <f>7172000+16609104+13737919.66+139837.17+70074948+25260000+58406476+20176796+12956282+1720000+3361652.34</f>
        <v>229615015.16999999</v>
      </c>
      <c r="L52" s="44">
        <f>1500000+652600+3888306+175786+182000+4112000+8675383.18+18614796+276962+11451238+4905560+2631862+3085240+1159000+4378192.1</f>
        <v>65688925.280000001</v>
      </c>
      <c r="M52" s="44">
        <f t="shared" si="25"/>
        <v>662293039.88999999</v>
      </c>
      <c r="N52" s="9">
        <v>0</v>
      </c>
      <c r="O52" s="44">
        <v>662292539.75999999</v>
      </c>
      <c r="P52" s="27">
        <f>+M52-O52-N52</f>
        <v>500.12999999523163</v>
      </c>
      <c r="Q52" s="9">
        <v>662292539.75999999</v>
      </c>
      <c r="R52" s="25">
        <f t="shared" si="15"/>
        <v>0.99999924485088942</v>
      </c>
      <c r="S52" s="9">
        <v>583029968.98000002</v>
      </c>
      <c r="T52" s="10">
        <v>583029968.98000002</v>
      </c>
    </row>
    <row r="53" spans="1:20" s="6" customFormat="1" ht="24.75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35</v>
      </c>
      <c r="G53" s="23" t="s">
        <v>116</v>
      </c>
      <c r="H53" s="7" t="s">
        <v>5</v>
      </c>
      <c r="I53" s="8" t="s">
        <v>6</v>
      </c>
      <c r="J53" s="44">
        <v>510003</v>
      </c>
      <c r="K53" s="44">
        <f>813997+2500000+5614250</f>
        <v>8928247</v>
      </c>
      <c r="L53" s="44">
        <f>1102250+2060000+36640+15000</f>
        <v>3213890</v>
      </c>
      <c r="M53" s="44">
        <f t="shared" si="25"/>
        <v>6224360</v>
      </c>
      <c r="N53" s="9">
        <v>0</v>
      </c>
      <c r="O53" s="44">
        <v>6224360</v>
      </c>
      <c r="P53" s="27">
        <f t="shared" si="22"/>
        <v>0</v>
      </c>
      <c r="Q53" s="9">
        <v>6224360</v>
      </c>
      <c r="R53" s="25">
        <f t="shared" si="15"/>
        <v>1</v>
      </c>
      <c r="S53" s="9">
        <v>5799360</v>
      </c>
      <c r="T53" s="10">
        <v>5799360</v>
      </c>
    </row>
    <row r="54" spans="1:20" s="6" customFormat="1" ht="43.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37</v>
      </c>
      <c r="G54" s="23" t="s">
        <v>248</v>
      </c>
      <c r="H54" s="7" t="s">
        <v>5</v>
      </c>
      <c r="I54" s="8">
        <v>10</v>
      </c>
      <c r="J54" s="44">
        <v>252146927</v>
      </c>
      <c r="K54" s="44">
        <f>45000000+19701540+4684912+500000+16853132+79058150+3013420+5316744+6737040+4267912+10641300+391500</f>
        <v>196165650</v>
      </c>
      <c r="L54" s="44">
        <f>8670725.17+3268282+13000000+39684912+13656217+595923+3918+7338+28960+15000000+716070+53700+446299</f>
        <v>95132344.170000002</v>
      </c>
      <c r="M54" s="44">
        <f t="shared" si="25"/>
        <v>353180232.82999998</v>
      </c>
      <c r="N54" s="27">
        <v>0</v>
      </c>
      <c r="O54" s="44">
        <v>353173136</v>
      </c>
      <c r="P54" s="27">
        <f t="shared" si="22"/>
        <v>7096.8299999833107</v>
      </c>
      <c r="Q54" s="9">
        <v>353173136</v>
      </c>
      <c r="R54" s="25">
        <f t="shared" si="15"/>
        <v>0.99997990592524644</v>
      </c>
      <c r="S54" s="9">
        <v>250941971</v>
      </c>
      <c r="T54" s="10">
        <v>250941971</v>
      </c>
    </row>
    <row r="55" spans="1:20" s="6" customFormat="1" ht="23.25" customHeigh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39</v>
      </c>
      <c r="G55" s="23" t="s">
        <v>117</v>
      </c>
      <c r="H55" s="7" t="s">
        <v>5</v>
      </c>
      <c r="I55" s="8" t="s">
        <v>6</v>
      </c>
      <c r="J55" s="44">
        <v>295308239</v>
      </c>
      <c r="K55" s="44">
        <f>10000+20280+500000+4500000+9020000+6000000+3000000+1009800+2000000+2000000</f>
        <v>28060080</v>
      </c>
      <c r="L55" s="44">
        <f>159356+7000000+151800+3119344+5280+1300000+1200000+620312+9617830+500000+417276+2000000+199193</f>
        <v>26290391</v>
      </c>
      <c r="M55" s="44">
        <f t="shared" si="25"/>
        <v>297077928</v>
      </c>
      <c r="N55" s="27">
        <v>0</v>
      </c>
      <c r="O55" s="44">
        <v>267646282</v>
      </c>
      <c r="P55" s="27">
        <f t="shared" si="22"/>
        <v>29431646</v>
      </c>
      <c r="Q55" s="9">
        <v>267646282</v>
      </c>
      <c r="R55" s="25">
        <f t="shared" si="15"/>
        <v>0.90092954330824604</v>
      </c>
      <c r="S55" s="9">
        <v>245109937.59999999</v>
      </c>
      <c r="T55" s="10">
        <v>245109937.59999999</v>
      </c>
    </row>
    <row r="56" spans="1:20" s="6" customForma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40</v>
      </c>
      <c r="G56" s="23" t="s">
        <v>118</v>
      </c>
      <c r="H56" s="7" t="s">
        <v>5</v>
      </c>
      <c r="I56" s="8" t="s">
        <v>6</v>
      </c>
      <c r="J56" s="44">
        <v>292736000</v>
      </c>
      <c r="K56" s="44">
        <f>10875072+28248774+43200000+25000000+2000000+360870+430000+1000000+317742</f>
        <v>111432458</v>
      </c>
      <c r="L56" s="44">
        <f>1431502+4008000+79942+14228000+1432000+4924857+6872+302293+795800+87170+1000000</f>
        <v>28296436</v>
      </c>
      <c r="M56" s="44">
        <f t="shared" si="25"/>
        <v>375872022</v>
      </c>
      <c r="N56" s="27">
        <v>0</v>
      </c>
      <c r="O56" s="44">
        <v>371275243</v>
      </c>
      <c r="P56" s="44">
        <f t="shared" si="22"/>
        <v>4596779</v>
      </c>
      <c r="Q56" s="9">
        <v>371275243</v>
      </c>
      <c r="R56" s="25">
        <f t="shared" si="15"/>
        <v>0.98777036137049856</v>
      </c>
      <c r="S56" s="9">
        <v>198700322.78999999</v>
      </c>
      <c r="T56" s="10">
        <v>198700322.78999999</v>
      </c>
    </row>
    <row r="57" spans="1:20" s="6" customFormat="1" ht="29.25" customHeight="1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42</v>
      </c>
      <c r="G57" s="23" t="s">
        <v>119</v>
      </c>
      <c r="H57" s="7" t="s">
        <v>5</v>
      </c>
      <c r="I57" s="8" t="s">
        <v>6</v>
      </c>
      <c r="J57" s="44">
        <v>41218942</v>
      </c>
      <c r="K57" s="44">
        <f>700000+133752+1468203+3000000+1425000+1365964+392500+312465+57330+152010+15140000+3104113+2500000+25324457+3110000</f>
        <v>58185794</v>
      </c>
      <c r="L57" s="44">
        <f>25000000+104804+27152+1100000+1215+435203+172218+65550+8941995+1676661+2500000+200000+2096750+4203250+1665114+5+3738</f>
        <v>48193655</v>
      </c>
      <c r="M57" s="44">
        <f t="shared" si="25"/>
        <v>51211081</v>
      </c>
      <c r="N57" s="27">
        <v>0</v>
      </c>
      <c r="O57" s="44">
        <v>51202427</v>
      </c>
      <c r="P57" s="44">
        <f t="shared" si="22"/>
        <v>8654</v>
      </c>
      <c r="Q57" s="9">
        <v>51202427</v>
      </c>
      <c r="R57" s="25">
        <f t="shared" si="15"/>
        <v>0.99983101313561418</v>
      </c>
      <c r="S57" s="9">
        <v>45910435</v>
      </c>
      <c r="T57" s="10">
        <v>45910435</v>
      </c>
    </row>
    <row r="58" spans="1:20" s="6" customFormat="1" ht="16.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43</v>
      </c>
      <c r="G58" s="23" t="s">
        <v>120</v>
      </c>
      <c r="H58" s="7" t="s">
        <v>5</v>
      </c>
      <c r="I58" s="8" t="s">
        <v>6</v>
      </c>
      <c r="J58" s="44">
        <f>561355666</f>
        <v>561355666</v>
      </c>
      <c r="K58" s="44">
        <f>6122008+1863580+200000000+6759617+200000000+2539390+23208750+39684912+5830000+22910883+1500000+3297380+9408100+34802500+815718+3693886+321568+25000000+3200000+3026014+35000000+33012360+520000+165413214+147992000+3353811+32660960+30952095+6314536+4000000+975177+200000+1743709+46960000</f>
        <v>1103082168</v>
      </c>
      <c r="L58" s="44">
        <f>8575000+40000000+18060344+1830672+2052970+17134875+430000+1044947+9200000+391500+8370+70520+7641099+25324457+779250+5835190+62000+4000000+1720000+1328660+6300+9037</f>
        <v>145505191</v>
      </c>
      <c r="M58" s="44">
        <f t="shared" si="25"/>
        <v>1518932643</v>
      </c>
      <c r="N58" s="9">
        <v>0</v>
      </c>
      <c r="O58" s="44">
        <v>1518930349</v>
      </c>
      <c r="P58" s="44">
        <f t="shared" si="22"/>
        <v>2294</v>
      </c>
      <c r="Q58" s="9">
        <v>1518930349</v>
      </c>
      <c r="R58" s="25">
        <f t="shared" si="15"/>
        <v>0.99999848972894845</v>
      </c>
      <c r="S58" s="9">
        <v>1061531772</v>
      </c>
      <c r="T58" s="10">
        <v>1061531772</v>
      </c>
    </row>
    <row r="59" spans="1:20" s="6" customFormat="1" ht="24.7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44</v>
      </c>
      <c r="G59" s="23" t="s">
        <v>121</v>
      </c>
      <c r="H59" s="7" t="s">
        <v>5</v>
      </c>
      <c r="I59" s="63" t="s">
        <v>6</v>
      </c>
      <c r="J59" s="44">
        <v>6500000</v>
      </c>
      <c r="K59" s="44">
        <f>1500000+17312572+500000+200000+149196</f>
        <v>19661768</v>
      </c>
      <c r="L59" s="44">
        <f>2298200+1900000+2369172+200000</f>
        <v>6767372</v>
      </c>
      <c r="M59" s="44">
        <f>J59+K59-L59</f>
        <v>19394396</v>
      </c>
      <c r="N59" s="9">
        <v>0</v>
      </c>
      <c r="O59" s="44">
        <v>19393586</v>
      </c>
      <c r="P59" s="27">
        <f t="shared" si="22"/>
        <v>810</v>
      </c>
      <c r="Q59" s="9">
        <v>19393586</v>
      </c>
      <c r="R59" s="25">
        <f t="shared" si="15"/>
        <v>0.99995823535829631</v>
      </c>
      <c r="S59" s="9">
        <v>18745200</v>
      </c>
      <c r="T59" s="10">
        <v>18745200</v>
      </c>
    </row>
    <row r="60" spans="1:20" s="6" customFormat="1" ht="16.5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39</v>
      </c>
      <c r="F60" s="7" t="s">
        <v>45</v>
      </c>
      <c r="G60" s="23" t="s">
        <v>122</v>
      </c>
      <c r="H60" s="7" t="s">
        <v>5</v>
      </c>
      <c r="I60" s="8" t="s">
        <v>6</v>
      </c>
      <c r="J60" s="44">
        <v>160736353</v>
      </c>
      <c r="K60" s="44">
        <f>1197350+402886+1000000+4247025+1905705+234540+5443212+1562652+63459820+1068664+24114+172218+3200000</f>
        <v>83918186</v>
      </c>
      <c r="L60" s="44">
        <f>120469050+751297+2956730+63459820+29530950+294000+3608628+163212+74652+296504+109</f>
        <v>221604952</v>
      </c>
      <c r="M60" s="44">
        <f>J60+K60-L60</f>
        <v>23049587</v>
      </c>
      <c r="N60" s="9">
        <v>0</v>
      </c>
      <c r="O60" s="44">
        <v>23049113</v>
      </c>
      <c r="P60" s="27">
        <f>+M60-O60-N60</f>
        <v>474</v>
      </c>
      <c r="Q60" s="9">
        <v>23049113</v>
      </c>
      <c r="R60" s="25">
        <f t="shared" si="15"/>
        <v>0.99997943564021341</v>
      </c>
      <c r="S60" s="9">
        <v>19418900</v>
      </c>
      <c r="T60" s="10">
        <v>19418900</v>
      </c>
    </row>
    <row r="61" spans="1:20" s="6" customFormat="1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35</v>
      </c>
      <c r="G61" s="23" t="s">
        <v>123</v>
      </c>
      <c r="H61" s="7" t="s">
        <v>5</v>
      </c>
      <c r="I61" s="8" t="s">
        <v>6</v>
      </c>
      <c r="J61" s="44">
        <v>3500000</v>
      </c>
      <c r="K61" s="44">
        <f>500000</f>
        <v>500000</v>
      </c>
      <c r="L61" s="44">
        <v>500000</v>
      </c>
      <c r="M61" s="44">
        <f>J61+K61-L61</f>
        <v>3500000</v>
      </c>
      <c r="N61" s="9">
        <v>0</v>
      </c>
      <c r="O61" s="44">
        <v>3500000</v>
      </c>
      <c r="P61" s="27">
        <f t="shared" si="22"/>
        <v>0</v>
      </c>
      <c r="Q61" s="9">
        <v>3500000</v>
      </c>
      <c r="R61" s="25">
        <f>IF(Q61&gt;1,Q61/(M61-N61),0)</f>
        <v>1</v>
      </c>
      <c r="S61" s="9">
        <v>3500000</v>
      </c>
      <c r="T61" s="10">
        <v>3500000</v>
      </c>
    </row>
    <row r="62" spans="1:20" s="6" customFormat="1" ht="24.75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7" t="s">
        <v>37</v>
      </c>
      <c r="G62" s="23" t="s">
        <v>124</v>
      </c>
      <c r="H62" s="7" t="s">
        <v>5</v>
      </c>
      <c r="I62" s="8" t="s">
        <v>6</v>
      </c>
      <c r="J62" s="44">
        <v>64604261</v>
      </c>
      <c r="K62" s="44">
        <f>2300000+73600+6848606+2664780+5000000+3500000+10140355+12000000+5851720+377884+3174913+3840769+710680+2700000+4500000+1942628+2078383+1300000+27498094+13724</f>
        <v>96516136</v>
      </c>
      <c r="L62" s="44">
        <f>15000000+28964740+481471+8000000+2254068+55501+4003160+2975000+4670958+4500000+46152+565+44267</f>
        <v>70995882</v>
      </c>
      <c r="M62" s="44">
        <f t="shared" si="25"/>
        <v>90124515</v>
      </c>
      <c r="N62" s="9">
        <v>0</v>
      </c>
      <c r="O62" s="44">
        <v>89927125.150000006</v>
      </c>
      <c r="P62" s="27">
        <f t="shared" si="22"/>
        <v>197389.84999999404</v>
      </c>
      <c r="Q62" s="9">
        <v>89927125.150000006</v>
      </c>
      <c r="R62" s="25">
        <f t="shared" si="15"/>
        <v>0.99780980957290044</v>
      </c>
      <c r="S62" s="9">
        <v>60162180.149999999</v>
      </c>
      <c r="T62" s="10">
        <v>60162180.149999999</v>
      </c>
    </row>
    <row r="63" spans="1:20" s="6" customFormat="1" ht="16.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39</v>
      </c>
      <c r="G63" s="23" t="s">
        <v>112</v>
      </c>
      <c r="H63" s="7" t="s">
        <v>5</v>
      </c>
      <c r="I63" s="8" t="s">
        <v>6</v>
      </c>
      <c r="J63" s="44"/>
      <c r="K63" s="44">
        <f>520981+1000000</f>
        <v>1520981</v>
      </c>
      <c r="L63" s="44">
        <f>240981+509000+140069</f>
        <v>890050</v>
      </c>
      <c r="M63" s="44">
        <f t="shared" si="25"/>
        <v>630931</v>
      </c>
      <c r="N63" s="9"/>
      <c r="O63" s="44">
        <v>630412</v>
      </c>
      <c r="P63" s="27">
        <f>+M63-O63-N63</f>
        <v>519</v>
      </c>
      <c r="Q63" s="9">
        <v>630412</v>
      </c>
      <c r="R63" s="25">
        <f t="shared" si="15"/>
        <v>0.99917740608719496</v>
      </c>
      <c r="S63" s="9">
        <v>280000</v>
      </c>
      <c r="T63" s="10">
        <v>280000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5" t="s">
        <v>40</v>
      </c>
      <c r="G64" s="23" t="s">
        <v>113</v>
      </c>
      <c r="H64" s="7" t="s">
        <v>5</v>
      </c>
      <c r="I64" s="8" t="s">
        <v>6</v>
      </c>
      <c r="J64" s="44"/>
      <c r="K64" s="44">
        <f>4691162</f>
        <v>4691162</v>
      </c>
      <c r="L64" s="44">
        <f>2867162</f>
        <v>2867162</v>
      </c>
      <c r="M64" s="44">
        <f>J64+K64-L64</f>
        <v>1824000</v>
      </c>
      <c r="N64" s="9"/>
      <c r="O64" s="44">
        <v>1824000</v>
      </c>
      <c r="P64" s="27">
        <f t="shared" si="22"/>
        <v>0</v>
      </c>
      <c r="Q64" s="9">
        <v>1824000</v>
      </c>
      <c r="R64" s="25">
        <f t="shared" si="15"/>
        <v>1</v>
      </c>
      <c r="S64" s="9">
        <v>1824000</v>
      </c>
      <c r="T64" s="10">
        <v>1824000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42</v>
      </c>
      <c r="G65" s="23" t="s">
        <v>125</v>
      </c>
      <c r="H65" s="7" t="s">
        <v>5</v>
      </c>
      <c r="I65" s="8" t="s">
        <v>6</v>
      </c>
      <c r="J65" s="44">
        <v>5907296</v>
      </c>
      <c r="K65" s="44">
        <f>5550900+9950318+3859602+906047+3400000</f>
        <v>23666867</v>
      </c>
      <c r="L65" s="44">
        <f>2369565+262332+1846774+148750+1488+40602</f>
        <v>4669511</v>
      </c>
      <c r="M65" s="44">
        <f>J65+K65-L65</f>
        <v>24904652</v>
      </c>
      <c r="N65" s="9">
        <v>0</v>
      </c>
      <c r="O65" s="44">
        <v>24903685</v>
      </c>
      <c r="P65" s="27">
        <f t="shared" si="22"/>
        <v>967</v>
      </c>
      <c r="Q65" s="9">
        <v>24903685</v>
      </c>
      <c r="R65" s="25">
        <f t="shared" si="15"/>
        <v>0.99996117191278155</v>
      </c>
      <c r="S65" s="9">
        <v>5097908</v>
      </c>
      <c r="T65" s="10">
        <v>5097908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43</v>
      </c>
      <c r="G66" s="23" t="s">
        <v>126</v>
      </c>
      <c r="H66" s="7" t="s">
        <v>5</v>
      </c>
      <c r="I66" s="8" t="s">
        <v>6</v>
      </c>
      <c r="J66" s="44">
        <v>19400000</v>
      </c>
      <c r="K66" s="44">
        <f>49211319+30000000+8500000+7663056+3501153</f>
        <v>98875528</v>
      </c>
      <c r="L66" s="44">
        <f>18807332+5000000+4400000+15633487+6091900+8500000+1385</f>
        <v>58434104</v>
      </c>
      <c r="M66" s="44">
        <f t="shared" si="25"/>
        <v>59841424</v>
      </c>
      <c r="N66" s="9">
        <v>0</v>
      </c>
      <c r="O66" s="44">
        <v>59839448</v>
      </c>
      <c r="P66" s="27">
        <f t="shared" si="22"/>
        <v>1976</v>
      </c>
      <c r="Q66" s="9">
        <v>59839448</v>
      </c>
      <c r="R66" s="25">
        <f t="shared" si="15"/>
        <v>0.99996697939541013</v>
      </c>
      <c r="S66" s="9">
        <v>56185816</v>
      </c>
      <c r="T66" s="10">
        <v>56185816</v>
      </c>
    </row>
    <row r="67" spans="1:20" s="6" customFormat="1" ht="16.5" x14ac:dyDescent="0.25">
      <c r="A67" s="91" t="s">
        <v>3</v>
      </c>
      <c r="B67" s="7" t="s">
        <v>50</v>
      </c>
      <c r="C67" s="7" t="s">
        <v>50</v>
      </c>
      <c r="D67" s="7" t="s">
        <v>34</v>
      </c>
      <c r="E67" s="7" t="s">
        <v>40</v>
      </c>
      <c r="F67" s="7" t="s">
        <v>44</v>
      </c>
      <c r="G67" s="23" t="s">
        <v>127</v>
      </c>
      <c r="H67" s="7" t="s">
        <v>5</v>
      </c>
      <c r="I67" s="8" t="s">
        <v>6</v>
      </c>
      <c r="J67" s="44">
        <v>1920000</v>
      </c>
      <c r="K67" s="44">
        <f>505750+209896127</f>
        <v>210401877</v>
      </c>
      <c r="L67" s="44">
        <f>1920000+20312157+1000000+5000000+3200000</f>
        <v>31432157</v>
      </c>
      <c r="M67" s="44">
        <f t="shared" si="25"/>
        <v>180889720</v>
      </c>
      <c r="N67" s="9">
        <v>0</v>
      </c>
      <c r="O67" s="44">
        <v>180485686</v>
      </c>
      <c r="P67" s="27">
        <f t="shared" si="22"/>
        <v>404034</v>
      </c>
      <c r="Q67" s="9">
        <v>180485686</v>
      </c>
      <c r="R67" s="25">
        <f t="shared" si="15"/>
        <v>0.99776640706835085</v>
      </c>
      <c r="S67" s="9">
        <v>180485686</v>
      </c>
      <c r="T67" s="10">
        <v>180485686</v>
      </c>
    </row>
    <row r="68" spans="1:20" s="6" customFormat="1" ht="24.75" x14ac:dyDescent="0.25">
      <c r="A68" s="91" t="s">
        <v>3</v>
      </c>
      <c r="B68" s="7" t="s">
        <v>50</v>
      </c>
      <c r="C68" s="65" t="s">
        <v>50</v>
      </c>
      <c r="D68" s="7" t="s">
        <v>34</v>
      </c>
      <c r="E68" s="7" t="s">
        <v>40</v>
      </c>
      <c r="F68" s="7" t="s">
        <v>45</v>
      </c>
      <c r="G68" s="23" t="s">
        <v>128</v>
      </c>
      <c r="H68" s="7" t="s">
        <v>5</v>
      </c>
      <c r="I68" s="8" t="s">
        <v>6</v>
      </c>
      <c r="J68" s="44">
        <v>10633300</v>
      </c>
      <c r="K68" s="44">
        <f>21000+699931+665000+672011+69091+7100000+5000000+335800+2289135+1938000+3702260+370226</f>
        <v>22862454</v>
      </c>
      <c r="L68" s="44">
        <f>2575440+423+9931+8568+4972280+273135</f>
        <v>7839777</v>
      </c>
      <c r="M68" s="44">
        <f t="shared" si="25"/>
        <v>25655977</v>
      </c>
      <c r="N68" s="9">
        <v>0</v>
      </c>
      <c r="O68" s="44">
        <v>25624306.199999999</v>
      </c>
      <c r="P68" s="27">
        <f t="shared" si="22"/>
        <v>31670.800000000745</v>
      </c>
      <c r="Q68" s="9">
        <v>25624306.199999999</v>
      </c>
      <c r="R68" s="25">
        <f t="shared" si="15"/>
        <v>0.99876555860647986</v>
      </c>
      <c r="S68" s="9">
        <v>19170385.199999999</v>
      </c>
      <c r="T68" s="10">
        <v>19170385.199999999</v>
      </c>
    </row>
    <row r="69" spans="1:20" s="6" customFormat="1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42</v>
      </c>
      <c r="F69" s="7" t="s">
        <v>40</v>
      </c>
      <c r="G69" s="23" t="s">
        <v>129</v>
      </c>
      <c r="H69" s="7" t="s">
        <v>5</v>
      </c>
      <c r="I69" s="8" t="s">
        <v>6</v>
      </c>
      <c r="J69" s="44">
        <v>7000000</v>
      </c>
      <c r="K69" s="44">
        <f>9264292.64+10584974+17915026+0.31</f>
        <v>37764292.950000003</v>
      </c>
      <c r="L69" s="44">
        <f>3000000+4000000+28500000+541841</f>
        <v>36041841</v>
      </c>
      <c r="M69" s="44">
        <f t="shared" si="25"/>
        <v>8722451.950000003</v>
      </c>
      <c r="N69" s="9">
        <v>0</v>
      </c>
      <c r="O69" s="44">
        <v>8722451.9499999993</v>
      </c>
      <c r="P69" s="27">
        <f>+M69-O69-N69</f>
        <v>3.7252902984619141E-9</v>
      </c>
      <c r="Q69" s="9">
        <v>8722451.9499999993</v>
      </c>
      <c r="R69" s="25">
        <f t="shared" si="15"/>
        <v>0.99999999999999956</v>
      </c>
      <c r="S69" s="9">
        <v>8722451.9499999993</v>
      </c>
      <c r="T69" s="10">
        <v>8722451.9499999993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40</v>
      </c>
      <c r="G70" s="23" t="s">
        <v>130</v>
      </c>
      <c r="H70" s="7" t="s">
        <v>5</v>
      </c>
      <c r="I70" s="8" t="s">
        <v>6</v>
      </c>
      <c r="J70" s="44">
        <v>1098853351</v>
      </c>
      <c r="K70" s="44">
        <f>5000000+5000000+9000000+1000000+1000000+2946448+10500000+7000000+2000000+1000000+2000000+2000000+242400+1000000+1500000+500000+1000000+1159000+1700000+31100+199193+500000</f>
        <v>56278141</v>
      </c>
      <c r="L70" s="44">
        <f>25000000+7000000+70451449+42496130+1200000+5000000+1000000+18000000+1486208+200000+3305878+16693</f>
        <v>175156358</v>
      </c>
      <c r="M70" s="44">
        <f t="shared" si="25"/>
        <v>979975134</v>
      </c>
      <c r="N70" s="9">
        <v>0</v>
      </c>
      <c r="O70" s="44">
        <v>967720204</v>
      </c>
      <c r="P70" s="27">
        <f t="shared" si="22"/>
        <v>12254930</v>
      </c>
      <c r="Q70" s="9">
        <v>967720204</v>
      </c>
      <c r="R70" s="25">
        <f t="shared" si="15"/>
        <v>0.98749465208369258</v>
      </c>
      <c r="S70" s="9">
        <v>778396948</v>
      </c>
      <c r="T70" s="10">
        <v>778132148</v>
      </c>
    </row>
    <row r="71" spans="1:20" s="6" customFormat="1" ht="16.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42</v>
      </c>
      <c r="G71" s="23" t="s">
        <v>131</v>
      </c>
      <c r="H71" s="7" t="s">
        <v>5</v>
      </c>
      <c r="I71" s="8" t="s">
        <v>6</v>
      </c>
      <c r="J71" s="44">
        <v>221300000</v>
      </c>
      <c r="K71" s="44">
        <f>20000000</f>
        <v>20000000</v>
      </c>
      <c r="L71" s="44">
        <v>20000000</v>
      </c>
      <c r="M71" s="44">
        <f t="shared" si="25"/>
        <v>221300000</v>
      </c>
      <c r="N71" s="9">
        <v>0</v>
      </c>
      <c r="O71" s="44">
        <v>221300000</v>
      </c>
      <c r="P71" s="27">
        <f t="shared" si="22"/>
        <v>0</v>
      </c>
      <c r="Q71" s="9">
        <v>221300000</v>
      </c>
      <c r="R71" s="25">
        <f t="shared" si="15"/>
        <v>1</v>
      </c>
      <c r="S71" s="9">
        <v>90491904</v>
      </c>
      <c r="T71" s="10">
        <v>90491904</v>
      </c>
    </row>
    <row r="72" spans="1:20" s="6" customFormat="1" ht="24.7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65" t="s">
        <v>43</v>
      </c>
      <c r="G72" s="23" t="s">
        <v>241</v>
      </c>
      <c r="H72" s="7" t="s">
        <v>5</v>
      </c>
      <c r="I72" s="8" t="s">
        <v>6</v>
      </c>
      <c r="J72" s="44">
        <v>0</v>
      </c>
      <c r="K72" s="44"/>
      <c r="L72" s="44"/>
      <c r="M72" s="44">
        <v>0</v>
      </c>
      <c r="N72" s="9">
        <v>0</v>
      </c>
      <c r="O72" s="44">
        <v>0</v>
      </c>
      <c r="P72" s="27">
        <f t="shared" ref="P72" si="28">+M72-O72-N72</f>
        <v>0</v>
      </c>
      <c r="Q72" s="9">
        <v>0</v>
      </c>
      <c r="R72" s="25">
        <f t="shared" ref="R72" si="29">IF(Q72&gt;1,Q72/(M72-N72),0)</f>
        <v>0</v>
      </c>
      <c r="S72" s="9">
        <v>0</v>
      </c>
      <c r="T72" s="10">
        <v>0</v>
      </c>
    </row>
    <row r="73" spans="1:20" s="6" customFormat="1" ht="16.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45</v>
      </c>
      <c r="G73" s="23" t="s">
        <v>132</v>
      </c>
      <c r="H73" s="7" t="s">
        <v>5</v>
      </c>
      <c r="I73" s="8" t="s">
        <v>6</v>
      </c>
      <c r="J73" s="44">
        <v>203606672</v>
      </c>
      <c r="K73" s="44"/>
      <c r="L73" s="44"/>
      <c r="M73" s="44">
        <f t="shared" si="25"/>
        <v>203606672</v>
      </c>
      <c r="N73" s="9">
        <v>0</v>
      </c>
      <c r="O73" s="44">
        <v>202620000</v>
      </c>
      <c r="P73" s="27">
        <f t="shared" si="22"/>
        <v>986672</v>
      </c>
      <c r="Q73" s="9">
        <v>202620000</v>
      </c>
      <c r="R73" s="25">
        <f t="shared" si="15"/>
        <v>0.99515402913711981</v>
      </c>
      <c r="S73" s="9">
        <v>74417095</v>
      </c>
      <c r="T73" s="10">
        <v>74417095</v>
      </c>
    </row>
    <row r="74" spans="1:20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133</v>
      </c>
      <c r="H74" s="7" t="s">
        <v>5</v>
      </c>
      <c r="I74" s="8" t="s">
        <v>6</v>
      </c>
      <c r="J74" s="44">
        <v>4586946857</v>
      </c>
      <c r="K74" s="44">
        <f>65000000+11504545+73000000+5837417+180000000+260000000+30000000+16877661+40000000+25034364+60832261+4000000+23290720+1000000+5298367+100000+323927+1842391+1659420+3845676+16901983+1000000+4875230+4000000</f>
        <v>836223962</v>
      </c>
      <c r="L74" s="44">
        <f>10875072+34275216.2+9264292.64+95440714+16609104+229975000+165741200+30697627+30000000+106382815+10000000+29650694+5397473+147992000+49667342+88567143.16+10000000+1996050+20400000+889674+146909614+9673448+6000000+46960000+10000000+672500+15000000+4500000+17463250+3645794+1000000</f>
        <v>1355646023</v>
      </c>
      <c r="M74" s="44">
        <f t="shared" si="25"/>
        <v>4067524796</v>
      </c>
      <c r="N74" s="9">
        <v>0</v>
      </c>
      <c r="O74" s="44">
        <v>3922604801.9400001</v>
      </c>
      <c r="P74" s="27">
        <f t="shared" si="22"/>
        <v>144919994.05999994</v>
      </c>
      <c r="Q74" s="9">
        <v>3922604801.9400001</v>
      </c>
      <c r="R74" s="25">
        <f t="shared" si="15"/>
        <v>0.96437145405910885</v>
      </c>
      <c r="S74" s="9">
        <v>3922604801.9400001</v>
      </c>
      <c r="T74" s="10">
        <v>3922604801.9400001</v>
      </c>
    </row>
    <row r="75" spans="1:20" s="6" customFormat="1" ht="24.7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43</v>
      </c>
      <c r="F75" s="7" t="s">
        <v>46</v>
      </c>
      <c r="G75" s="23" t="s">
        <v>133</v>
      </c>
      <c r="H75" s="7" t="s">
        <v>8</v>
      </c>
      <c r="I75" s="8" t="s">
        <v>9</v>
      </c>
      <c r="J75" s="44">
        <v>786000000</v>
      </c>
      <c r="K75" s="44"/>
      <c r="L75" s="44"/>
      <c r="M75" s="44">
        <f t="shared" si="25"/>
        <v>786000000</v>
      </c>
      <c r="N75" s="9">
        <v>0</v>
      </c>
      <c r="O75" s="44">
        <v>786000000</v>
      </c>
      <c r="P75" s="27">
        <f t="shared" si="22"/>
        <v>0</v>
      </c>
      <c r="Q75" s="9">
        <v>786000000</v>
      </c>
      <c r="R75" s="25">
        <f t="shared" si="15"/>
        <v>1</v>
      </c>
      <c r="S75" s="9">
        <v>786000000</v>
      </c>
      <c r="T75" s="10">
        <v>786000000</v>
      </c>
    </row>
    <row r="76" spans="1:20" s="6" customFormat="1" ht="24.7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43</v>
      </c>
      <c r="F76" s="7" t="s">
        <v>46</v>
      </c>
      <c r="G76" s="23" t="s">
        <v>133</v>
      </c>
      <c r="H76" s="7" t="s">
        <v>8</v>
      </c>
      <c r="I76" s="8">
        <v>21</v>
      </c>
      <c r="J76" s="44">
        <v>391600000</v>
      </c>
      <c r="K76" s="44"/>
      <c r="L76" s="44"/>
      <c r="M76" s="44">
        <f t="shared" si="25"/>
        <v>391600000</v>
      </c>
      <c r="N76" s="9">
        <v>0</v>
      </c>
      <c r="O76" s="44">
        <v>391600000</v>
      </c>
      <c r="P76" s="27">
        <f t="shared" si="22"/>
        <v>0</v>
      </c>
      <c r="Q76" s="9">
        <v>391600000</v>
      </c>
      <c r="R76" s="25">
        <f t="shared" si="15"/>
        <v>1</v>
      </c>
      <c r="S76" s="9">
        <v>391600000</v>
      </c>
      <c r="T76" s="10">
        <v>391600000</v>
      </c>
    </row>
    <row r="77" spans="1:20" s="6" customFormat="1" ht="16.5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44</v>
      </c>
      <c r="F77" s="7" t="s">
        <v>35</v>
      </c>
      <c r="G77" s="23" t="s">
        <v>134</v>
      </c>
      <c r="H77" s="7" t="s">
        <v>5</v>
      </c>
      <c r="I77" s="8" t="s">
        <v>6</v>
      </c>
      <c r="J77" s="44">
        <v>5015000000</v>
      </c>
      <c r="K77" s="44">
        <f>14100000+418654+106042+400000+62100.6</f>
        <v>15086796.6</v>
      </c>
      <c r="L77" s="44">
        <f>2000000+1183200+66643986+395800+1400000+503100+400000+2052300+48000+968100+471442+418654</f>
        <v>76484582</v>
      </c>
      <c r="M77" s="44">
        <f t="shared" si="25"/>
        <v>4953602214.6000004</v>
      </c>
      <c r="N77" s="9">
        <v>0</v>
      </c>
      <c r="O77" s="44">
        <v>4953602214.6000004</v>
      </c>
      <c r="P77" s="27">
        <f t="shared" si="22"/>
        <v>0</v>
      </c>
      <c r="Q77" s="9">
        <v>4953602214.6000004</v>
      </c>
      <c r="R77" s="25">
        <f t="shared" si="15"/>
        <v>1</v>
      </c>
      <c r="S77" s="9">
        <v>4927093199.6000004</v>
      </c>
      <c r="T77" s="10">
        <v>4927093199.6000004</v>
      </c>
    </row>
    <row r="78" spans="1:20" s="6" customFormat="1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44</v>
      </c>
      <c r="F78" s="65" t="s">
        <v>37</v>
      </c>
      <c r="G78" s="23" t="s">
        <v>135</v>
      </c>
      <c r="H78" s="7" t="s">
        <v>5</v>
      </c>
      <c r="I78" s="8" t="s">
        <v>6</v>
      </c>
      <c r="J78" s="44">
        <v>2172141060</v>
      </c>
      <c r="K78" s="44">
        <f>33384600</f>
        <v>33384600</v>
      </c>
      <c r="L78" s="44">
        <f>4299972+26221172+2277431+504000+4200000+16901983+1000000+62100.6</f>
        <v>55466658.600000001</v>
      </c>
      <c r="M78" s="44">
        <f t="shared" si="25"/>
        <v>2150059001.4000001</v>
      </c>
      <c r="N78" s="9">
        <v>0</v>
      </c>
      <c r="O78" s="44">
        <v>2138838485</v>
      </c>
      <c r="P78" s="27">
        <f t="shared" si="22"/>
        <v>11220516.400000095</v>
      </c>
      <c r="Q78" s="9">
        <v>2138838485</v>
      </c>
      <c r="R78" s="25">
        <f t="shared" si="15"/>
        <v>0.99478129837707063</v>
      </c>
      <c r="S78" s="9">
        <v>2095572619.6800001</v>
      </c>
      <c r="T78" s="10">
        <v>2095572619.6800001</v>
      </c>
    </row>
    <row r="79" spans="1:20" s="6" customFormat="1" ht="16.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65" t="s">
        <v>44</v>
      </c>
      <c r="F79" s="65" t="s">
        <v>39</v>
      </c>
      <c r="G79" s="108" t="s">
        <v>156</v>
      </c>
      <c r="H79" s="7" t="s">
        <v>5</v>
      </c>
      <c r="I79" s="8" t="s">
        <v>6</v>
      </c>
      <c r="J79" s="44">
        <v>90000000</v>
      </c>
      <c r="K79" s="44"/>
      <c r="L79" s="44">
        <v>90000000</v>
      </c>
      <c r="M79" s="44">
        <f t="shared" si="25"/>
        <v>0</v>
      </c>
      <c r="N79" s="9">
        <v>0</v>
      </c>
      <c r="O79" s="44">
        <v>0</v>
      </c>
      <c r="P79" s="27">
        <f t="shared" si="22"/>
        <v>0</v>
      </c>
      <c r="Q79" s="9">
        <v>0</v>
      </c>
      <c r="R79" s="25">
        <f t="shared" si="15"/>
        <v>0</v>
      </c>
      <c r="S79" s="9">
        <v>0</v>
      </c>
      <c r="T79" s="10">
        <v>0</v>
      </c>
    </row>
    <row r="80" spans="1:20" s="6" customFormat="1" ht="16.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37</v>
      </c>
      <c r="G80" s="108" t="s">
        <v>136</v>
      </c>
      <c r="H80" s="7" t="s">
        <v>5</v>
      </c>
      <c r="I80" s="8" t="s">
        <v>6</v>
      </c>
      <c r="J80" s="44">
        <v>40070000</v>
      </c>
      <c r="K80" s="44">
        <f>229900+54600000+5000000+400000</f>
        <v>60229900</v>
      </c>
      <c r="L80" s="44">
        <f>30000000+2053700+2000000+70000+8728400</f>
        <v>42852100</v>
      </c>
      <c r="M80" s="44">
        <f t="shared" si="25"/>
        <v>57447800</v>
      </c>
      <c r="N80" s="9"/>
      <c r="O80" s="44">
        <v>57047800</v>
      </c>
      <c r="P80" s="27">
        <f t="shared" si="22"/>
        <v>400000</v>
      </c>
      <c r="Q80" s="9">
        <v>57047800</v>
      </c>
      <c r="R80" s="25">
        <f t="shared" si="15"/>
        <v>0.99303715721054597</v>
      </c>
      <c r="S80" s="9">
        <v>52547800</v>
      </c>
      <c r="T80" s="10">
        <v>52547800</v>
      </c>
    </row>
    <row r="81" spans="1:259" s="6" customFormat="1" ht="41.25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39</v>
      </c>
      <c r="G81" s="23" t="s">
        <v>149</v>
      </c>
      <c r="H81" s="7" t="s">
        <v>5</v>
      </c>
      <c r="I81" s="8" t="s">
        <v>6</v>
      </c>
      <c r="J81" s="44">
        <v>4249370800</v>
      </c>
      <c r="K81" s="44">
        <f>19275523.65+151800+5397473+437100+5000000+8582875+2457728</f>
        <v>41302499.649999999</v>
      </c>
      <c r="L81" s="44">
        <f>4258800+229900+70074948+54600000+45401356+93043212+192000000+32817251+3000000+50000000+3284400000</f>
        <v>3829825467</v>
      </c>
      <c r="M81" s="44">
        <f>J81+K81-L81</f>
        <v>460847832.6500001</v>
      </c>
      <c r="N81" s="109">
        <v>0</v>
      </c>
      <c r="O81" s="44">
        <v>458691040.64999998</v>
      </c>
      <c r="P81" s="27">
        <f t="shared" si="22"/>
        <v>2156792.0000001192</v>
      </c>
      <c r="Q81" s="9">
        <v>458691040.64999998</v>
      </c>
      <c r="R81" s="25">
        <f t="shared" ref="R81:R92" si="30">IF(Q81&gt;1,Q81/(M81-N81),0)</f>
        <v>0.99531994761134501</v>
      </c>
      <c r="S81" s="9">
        <v>441609950.64999998</v>
      </c>
      <c r="T81" s="10">
        <v>441609950.64999998</v>
      </c>
    </row>
    <row r="82" spans="1:259" s="6" customFormat="1" ht="33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45</v>
      </c>
      <c r="F82" s="7" t="s">
        <v>40</v>
      </c>
      <c r="G82" s="23" t="s">
        <v>137</v>
      </c>
      <c r="H82" s="7" t="s">
        <v>5</v>
      </c>
      <c r="I82" s="8" t="s">
        <v>6</v>
      </c>
      <c r="J82" s="44">
        <v>771516577</v>
      </c>
      <c r="K82" s="44">
        <f>1000000+3200000</f>
        <v>4200000</v>
      </c>
      <c r="L82" s="44">
        <f>16877661+106041583+19000000+4583500+6000000+165413214+115020903.33+10537082+1215696+98000+1000000+15000000+103753+348088+152</f>
        <v>461239632.32999998</v>
      </c>
      <c r="M82" s="44">
        <f t="shared" si="25"/>
        <v>314476944.67000002</v>
      </c>
      <c r="N82" s="9">
        <v>0</v>
      </c>
      <c r="O82" s="44">
        <v>281111529.25999999</v>
      </c>
      <c r="P82" s="27">
        <f t="shared" si="22"/>
        <v>33365415.410000026</v>
      </c>
      <c r="Q82" s="9">
        <v>281111529.25999999</v>
      </c>
      <c r="R82" s="25">
        <f t="shared" si="30"/>
        <v>0.89390187110532882</v>
      </c>
      <c r="S82" s="9">
        <v>252587229.25999999</v>
      </c>
      <c r="T82" s="10">
        <v>252587229.25999999</v>
      </c>
    </row>
    <row r="83" spans="1:259" s="6" customFormat="1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45</v>
      </c>
      <c r="F83" s="7" t="s">
        <v>42</v>
      </c>
      <c r="G83" s="23" t="s">
        <v>138</v>
      </c>
      <c r="H83" s="7" t="s">
        <v>5</v>
      </c>
      <c r="I83" s="8" t="s">
        <v>6</v>
      </c>
      <c r="J83" s="44">
        <v>15465032889</v>
      </c>
      <c r="K83" s="44">
        <f>29650694+35000000+355000000</f>
        <v>419650694</v>
      </c>
      <c r="L83" s="44">
        <f>78737919.66+40890758+116385232+43200000+92578039+52636119+5000000+36023304+866342+29194257+24905710+70347400+22910883+35431530+100000000+18434631+7000000+30445666.15+8153000+40285229+6713485+0.31</f>
        <v>860139505.11999989</v>
      </c>
      <c r="M83" s="44">
        <f>J83+K83-L83</f>
        <v>15024544077.880001</v>
      </c>
      <c r="N83" s="9">
        <v>0</v>
      </c>
      <c r="O83" s="44">
        <v>14973174730.84</v>
      </c>
      <c r="P83" s="27">
        <f t="shared" si="22"/>
        <v>51369347.040000916</v>
      </c>
      <c r="Q83" s="9">
        <v>14973174730.84</v>
      </c>
      <c r="R83" s="25">
        <f t="shared" si="30"/>
        <v>0.99658097132440582</v>
      </c>
      <c r="S83" s="9">
        <v>13743245417.809999</v>
      </c>
      <c r="T83" s="10">
        <v>13743245417.809999</v>
      </c>
    </row>
    <row r="84" spans="1:259" s="6" customFormat="1" ht="33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45</v>
      </c>
      <c r="F84" s="7" t="s">
        <v>44</v>
      </c>
      <c r="G84" s="23" t="s">
        <v>139</v>
      </c>
      <c r="H84" s="7" t="s">
        <v>5</v>
      </c>
      <c r="I84" s="63" t="s">
        <v>6</v>
      </c>
      <c r="J84" s="44">
        <v>372795117</v>
      </c>
      <c r="K84" s="44">
        <f>14999692.55+9769956+95440714+1573883+36385232+15875000+14625077+45401356+20073389+30000000+52193000+20000000+7050000+1967725+105000000+10000000+5674768+28500000+8582875+6523941+1500000+100000000+222644+2975000</f>
        <v>634334252.54999995</v>
      </c>
      <c r="L84" s="44">
        <f>2702156+4200750+3500000+15000000+23758500+5000000+2653929+4654217+3201148+10641300+437100+248921600+8582875+1163006+11633418+20000000+2000000+2763037+336605+2923430+27167500+2840427+337000+26786963+1500000+46940+20000000</f>
        <v>452751901</v>
      </c>
      <c r="M84" s="44">
        <f>J84+K84-L84</f>
        <v>554377468.54999995</v>
      </c>
      <c r="N84" s="9">
        <v>0</v>
      </c>
      <c r="O84" s="44">
        <v>452806233.17000002</v>
      </c>
      <c r="P84" s="27">
        <f t="shared" si="22"/>
        <v>101571235.37999994</v>
      </c>
      <c r="Q84" s="9">
        <v>452806233.17000002</v>
      </c>
      <c r="R84" s="25">
        <f t="shared" si="30"/>
        <v>0.8167832548359798</v>
      </c>
      <c r="S84" s="9">
        <v>385801131.80000001</v>
      </c>
      <c r="T84" s="10">
        <v>385801131.80000001</v>
      </c>
    </row>
    <row r="85" spans="1:259" s="6" customFormat="1" ht="24.7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7" t="s">
        <v>39</v>
      </c>
      <c r="G85" s="23" t="s">
        <v>140</v>
      </c>
      <c r="H85" s="7" t="s">
        <v>5</v>
      </c>
      <c r="I85" s="8" t="s">
        <v>6</v>
      </c>
      <c r="J85" s="44">
        <v>589530283</v>
      </c>
      <c r="K85" s="44">
        <f>12641984+3424800+8575000+17689712</f>
        <v>42331496</v>
      </c>
      <c r="L85" s="44">
        <f>12641984+6629450+11022364+7948000+12050+598+4918189+9681850+2075811+2359400</f>
        <v>57289696</v>
      </c>
      <c r="M85" s="44">
        <f>J85+K85-L85</f>
        <v>574572083</v>
      </c>
      <c r="N85" s="9">
        <v>0</v>
      </c>
      <c r="O85" s="44">
        <v>574557954</v>
      </c>
      <c r="P85" s="27">
        <f t="shared" si="22"/>
        <v>14129</v>
      </c>
      <c r="Q85" s="9">
        <v>574557954</v>
      </c>
      <c r="R85" s="25">
        <f t="shared" si="30"/>
        <v>0.99997540952577046</v>
      </c>
      <c r="S85" s="9">
        <v>406120200</v>
      </c>
      <c r="T85" s="10">
        <v>406120200</v>
      </c>
    </row>
    <row r="86" spans="1:259" s="6" customFormat="1" ht="41.2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46</v>
      </c>
      <c r="F86" s="7" t="s">
        <v>40</v>
      </c>
      <c r="G86" s="23" t="s">
        <v>141</v>
      </c>
      <c r="H86" s="7" t="s">
        <v>5</v>
      </c>
      <c r="I86" s="8" t="s">
        <v>6</v>
      </c>
      <c r="J86" s="44">
        <v>641562697</v>
      </c>
      <c r="K86" s="44">
        <f>15500000+6400000+11466906+8400000+21000000+20000000+1800000+2000000+600000+8300000+5000000+59823+58146+20000000</f>
        <v>120584875</v>
      </c>
      <c r="L86" s="44">
        <f>7429347+520000+3900000+472308+1401380+2000000+7801379+1457728+1300000+7000000+14342162+803907+323927+453354+91799</f>
        <v>49297291</v>
      </c>
      <c r="M86" s="44">
        <f t="shared" si="25"/>
        <v>712850281</v>
      </c>
      <c r="N86" s="9">
        <v>0</v>
      </c>
      <c r="O86" s="44">
        <v>667477612.13999999</v>
      </c>
      <c r="P86" s="27">
        <f t="shared" si="22"/>
        <v>45372668.860000014</v>
      </c>
      <c r="Q86" s="9">
        <v>667477612.13999999</v>
      </c>
      <c r="R86" s="25">
        <f t="shared" si="30"/>
        <v>0.93635035284498958</v>
      </c>
      <c r="S86" s="9">
        <v>607431660.65999997</v>
      </c>
      <c r="T86" s="10">
        <v>607431660.65999997</v>
      </c>
    </row>
    <row r="87" spans="1:259" s="6" customFormat="1" ht="16.5" x14ac:dyDescent="0.25">
      <c r="A87" s="91" t="s">
        <v>3</v>
      </c>
      <c r="B87" s="7" t="s">
        <v>50</v>
      </c>
      <c r="C87" s="7" t="s">
        <v>50</v>
      </c>
      <c r="D87" s="7" t="s">
        <v>50</v>
      </c>
      <c r="E87" s="7" t="s">
        <v>46</v>
      </c>
      <c r="F87" s="65" t="s">
        <v>43</v>
      </c>
      <c r="G87" s="23" t="s">
        <v>150</v>
      </c>
      <c r="H87" s="7" t="s">
        <v>5</v>
      </c>
      <c r="I87" s="8" t="s">
        <v>6</v>
      </c>
      <c r="J87" s="44">
        <v>697500000</v>
      </c>
      <c r="K87" s="44">
        <f>15000000+100+2100000+4100000</f>
        <v>21200100</v>
      </c>
      <c r="L87" s="44">
        <f>1216026+17757+7160000+120100+2420+49800+560000+6500000+100</f>
        <v>15626203</v>
      </c>
      <c r="M87" s="44">
        <f>J87+K87-L87</f>
        <v>703073897</v>
      </c>
      <c r="N87" s="9">
        <v>0</v>
      </c>
      <c r="O87" s="44">
        <v>700439723</v>
      </c>
      <c r="P87" s="27">
        <f t="shared" si="22"/>
        <v>2634174</v>
      </c>
      <c r="Q87" s="9">
        <v>700439723</v>
      </c>
      <c r="R87" s="25">
        <f t="shared" si="30"/>
        <v>0.99625334689391831</v>
      </c>
      <c r="S87" s="9">
        <v>597810023</v>
      </c>
      <c r="T87" s="10">
        <v>597810023</v>
      </c>
      <c r="BD87" s="6">
        <v>408287880</v>
      </c>
      <c r="BE87" s="6">
        <v>408287880</v>
      </c>
      <c r="BF87" s="6">
        <v>408287880</v>
      </c>
      <c r="BG87" s="6">
        <v>408287880</v>
      </c>
      <c r="BH87" s="6">
        <v>408287880</v>
      </c>
      <c r="BI87" s="6">
        <v>408287880</v>
      </c>
      <c r="BJ87" s="6">
        <v>408287880</v>
      </c>
      <c r="BK87" s="6">
        <v>408287880</v>
      </c>
      <c r="BL87" s="6">
        <v>408287880</v>
      </c>
      <c r="BM87" s="6">
        <v>408287880</v>
      </c>
      <c r="BN87" s="6">
        <v>408287880</v>
      </c>
      <c r="BO87" s="6">
        <v>408287880</v>
      </c>
      <c r="BP87" s="6">
        <v>408287880</v>
      </c>
      <c r="BQ87" s="6">
        <v>408287880</v>
      </c>
      <c r="BR87" s="6">
        <v>408287880</v>
      </c>
      <c r="BS87" s="6">
        <v>408287880</v>
      </c>
      <c r="BT87" s="6">
        <v>408287880</v>
      </c>
      <c r="BU87" s="6">
        <v>408287880</v>
      </c>
      <c r="BV87" s="6">
        <v>408287880</v>
      </c>
      <c r="BW87" s="6">
        <v>408287880</v>
      </c>
      <c r="BX87" s="6">
        <v>408287880</v>
      </c>
      <c r="BY87" s="6">
        <v>408287880</v>
      </c>
      <c r="BZ87" s="6">
        <v>408287880</v>
      </c>
      <c r="CA87" s="6">
        <v>408287880</v>
      </c>
      <c r="CB87" s="6">
        <v>408287880</v>
      </c>
      <c r="CC87" s="6">
        <v>408287880</v>
      </c>
      <c r="CD87" s="6">
        <v>408287880</v>
      </c>
      <c r="CE87" s="6">
        <v>408287880</v>
      </c>
      <c r="CF87" s="6">
        <v>408287880</v>
      </c>
      <c r="CG87" s="6">
        <v>408287880</v>
      </c>
      <c r="CH87" s="6">
        <v>408287880</v>
      </c>
      <c r="CI87" s="6">
        <v>408287880</v>
      </c>
      <c r="CJ87" s="6">
        <v>408287880</v>
      </c>
      <c r="CK87" s="6">
        <v>408287880</v>
      </c>
      <c r="CL87" s="6">
        <v>408287880</v>
      </c>
      <c r="CM87" s="6">
        <v>408287880</v>
      </c>
      <c r="CN87" s="6">
        <v>408287880</v>
      </c>
      <c r="CO87" s="6">
        <v>408287880</v>
      </c>
      <c r="CP87" s="6">
        <v>408287880</v>
      </c>
      <c r="CQ87" s="6">
        <v>408287880</v>
      </c>
      <c r="CR87" s="6">
        <v>408287880</v>
      </c>
      <c r="CS87" s="6">
        <v>408287880</v>
      </c>
      <c r="CT87" s="6">
        <v>408287880</v>
      </c>
      <c r="CU87" s="6">
        <v>408287880</v>
      </c>
      <c r="CV87" s="6">
        <v>408287880</v>
      </c>
      <c r="CW87" s="6">
        <v>408287880</v>
      </c>
      <c r="CX87" s="6">
        <v>408287880</v>
      </c>
      <c r="CY87" s="6">
        <v>408287880</v>
      </c>
      <c r="CZ87" s="6">
        <v>408287880</v>
      </c>
      <c r="DA87" s="6">
        <v>408287880</v>
      </c>
      <c r="DB87" s="6">
        <v>408287880</v>
      </c>
      <c r="DC87" s="6">
        <v>408287880</v>
      </c>
      <c r="DD87" s="6">
        <v>408287880</v>
      </c>
      <c r="DE87" s="6">
        <v>408287880</v>
      </c>
      <c r="DF87" s="6">
        <v>408287880</v>
      </c>
      <c r="DG87" s="6">
        <v>408287880</v>
      </c>
      <c r="DH87" s="6">
        <v>408287880</v>
      </c>
      <c r="DI87" s="6">
        <v>408287880</v>
      </c>
      <c r="DJ87" s="6">
        <v>408287880</v>
      </c>
      <c r="DK87" s="6">
        <v>408287880</v>
      </c>
      <c r="DL87" s="6">
        <v>408287880</v>
      </c>
      <c r="DM87" s="6">
        <v>408287880</v>
      </c>
      <c r="DN87" s="6">
        <v>408287880</v>
      </c>
      <c r="DO87" s="6">
        <v>408287880</v>
      </c>
      <c r="DP87" s="6">
        <v>408287880</v>
      </c>
      <c r="DQ87" s="6">
        <v>408287880</v>
      </c>
      <c r="DR87" s="6">
        <v>408287880</v>
      </c>
      <c r="DS87" s="6">
        <v>408287880</v>
      </c>
      <c r="DT87" s="6">
        <v>408287880</v>
      </c>
      <c r="DU87" s="6">
        <v>408287880</v>
      </c>
      <c r="DV87" s="6">
        <v>408287880</v>
      </c>
      <c r="DW87" s="6">
        <v>408287880</v>
      </c>
      <c r="DX87" s="6">
        <v>408287880</v>
      </c>
      <c r="DY87" s="6">
        <v>408287880</v>
      </c>
      <c r="DZ87" s="6">
        <v>408287880</v>
      </c>
      <c r="EA87" s="6">
        <v>408287880</v>
      </c>
      <c r="EB87" s="6">
        <v>408287880</v>
      </c>
      <c r="EC87" s="6">
        <v>408287880</v>
      </c>
      <c r="ED87" s="6">
        <v>408287880</v>
      </c>
      <c r="EE87" s="6">
        <v>408287880</v>
      </c>
      <c r="EF87" s="6">
        <v>408287880</v>
      </c>
      <c r="EG87" s="6">
        <v>408287880</v>
      </c>
      <c r="EH87" s="6">
        <v>408287880</v>
      </c>
      <c r="EI87" s="6">
        <v>408287880</v>
      </c>
      <c r="EJ87" s="6">
        <v>408287880</v>
      </c>
      <c r="EK87" s="6">
        <v>408287880</v>
      </c>
      <c r="EL87" s="6">
        <v>408287880</v>
      </c>
      <c r="EM87" s="6">
        <v>408287880</v>
      </c>
      <c r="EN87" s="6">
        <v>408287880</v>
      </c>
      <c r="EO87" s="6">
        <v>408287880</v>
      </c>
      <c r="EP87" s="6">
        <v>408287880</v>
      </c>
      <c r="EQ87" s="6">
        <v>408287880</v>
      </c>
      <c r="ER87" s="6">
        <v>408287880</v>
      </c>
      <c r="ES87" s="6">
        <v>408287880</v>
      </c>
      <c r="ET87" s="6">
        <v>408287880</v>
      </c>
      <c r="EU87" s="6">
        <v>408287880</v>
      </c>
      <c r="EV87" s="6">
        <v>408287880</v>
      </c>
      <c r="EW87" s="6">
        <v>408287880</v>
      </c>
      <c r="EX87" s="6">
        <v>408287880</v>
      </c>
      <c r="EY87" s="6">
        <v>408287880</v>
      </c>
      <c r="EZ87" s="6">
        <v>408287880</v>
      </c>
      <c r="FA87" s="6">
        <v>408287880</v>
      </c>
      <c r="FB87" s="6">
        <v>408287880</v>
      </c>
      <c r="FC87" s="6">
        <v>408287880</v>
      </c>
      <c r="FD87" s="6">
        <v>408287880</v>
      </c>
      <c r="FE87" s="6">
        <v>408287880</v>
      </c>
      <c r="FF87" s="6">
        <v>408287880</v>
      </c>
      <c r="FG87" s="6">
        <v>408287880</v>
      </c>
      <c r="FH87" s="6">
        <v>408287880</v>
      </c>
      <c r="FI87" s="6">
        <v>408287880</v>
      </c>
      <c r="FJ87" s="6">
        <v>408287880</v>
      </c>
      <c r="FK87" s="6">
        <v>408287880</v>
      </c>
      <c r="FL87" s="6">
        <v>408287880</v>
      </c>
      <c r="FM87" s="6">
        <v>408287880</v>
      </c>
      <c r="FN87" s="6">
        <v>408287880</v>
      </c>
      <c r="FO87" s="6">
        <v>408287880</v>
      </c>
      <c r="FP87" s="6">
        <v>408287880</v>
      </c>
      <c r="FQ87" s="6">
        <v>408287880</v>
      </c>
      <c r="FR87" s="6">
        <v>408287880</v>
      </c>
      <c r="FS87" s="6">
        <v>408287880</v>
      </c>
      <c r="FT87" s="6">
        <v>408287880</v>
      </c>
      <c r="FU87" s="6">
        <v>408287880</v>
      </c>
      <c r="FV87" s="6">
        <v>408287880</v>
      </c>
      <c r="FW87" s="6">
        <v>408287880</v>
      </c>
      <c r="FX87" s="6">
        <v>408287880</v>
      </c>
      <c r="FY87" s="6">
        <v>408287880</v>
      </c>
      <c r="FZ87" s="6">
        <v>408287880</v>
      </c>
      <c r="GA87" s="6">
        <v>408287880</v>
      </c>
      <c r="GB87" s="6">
        <v>408287880</v>
      </c>
      <c r="GC87" s="6">
        <v>408287880</v>
      </c>
      <c r="GD87" s="6">
        <v>408287880</v>
      </c>
      <c r="GE87" s="6">
        <v>408287880</v>
      </c>
      <c r="GF87" s="6">
        <v>408287880</v>
      </c>
      <c r="GG87" s="6">
        <v>408287880</v>
      </c>
      <c r="GH87" s="6">
        <v>408287880</v>
      </c>
      <c r="GI87" s="6">
        <v>408287880</v>
      </c>
      <c r="GJ87" s="6">
        <v>408287880</v>
      </c>
      <c r="GK87" s="6">
        <v>408287880</v>
      </c>
      <c r="GL87" s="6">
        <v>408287880</v>
      </c>
      <c r="GM87" s="6">
        <v>408287880</v>
      </c>
      <c r="GN87" s="6">
        <v>408287880</v>
      </c>
      <c r="GO87" s="6">
        <v>408287880</v>
      </c>
      <c r="GP87" s="6">
        <v>408287880</v>
      </c>
      <c r="GQ87" s="6">
        <v>408287880</v>
      </c>
      <c r="GR87" s="6">
        <v>408287880</v>
      </c>
      <c r="GS87" s="6">
        <v>408287880</v>
      </c>
      <c r="GT87" s="6">
        <v>408287880</v>
      </c>
      <c r="GU87" s="6">
        <v>408287880</v>
      </c>
      <c r="GV87" s="6">
        <v>408287880</v>
      </c>
      <c r="GW87" s="6">
        <v>408287880</v>
      </c>
      <c r="GX87" s="6">
        <v>408287880</v>
      </c>
      <c r="GY87" s="6">
        <v>408287880</v>
      </c>
      <c r="GZ87" s="6">
        <v>408287880</v>
      </c>
      <c r="HA87" s="6">
        <v>408287880</v>
      </c>
      <c r="HB87" s="6">
        <v>408287880</v>
      </c>
      <c r="HC87" s="6">
        <v>408287880</v>
      </c>
      <c r="HD87" s="6">
        <v>408287880</v>
      </c>
      <c r="HE87" s="6">
        <v>408287880</v>
      </c>
      <c r="HF87" s="6">
        <v>408287880</v>
      </c>
      <c r="HG87" s="6">
        <v>408287880</v>
      </c>
      <c r="HH87" s="6">
        <v>408287880</v>
      </c>
      <c r="HI87" s="6">
        <v>408287880</v>
      </c>
      <c r="HJ87" s="6">
        <v>408287880</v>
      </c>
      <c r="HK87" s="6">
        <v>408287880</v>
      </c>
      <c r="HL87" s="6">
        <v>408287880</v>
      </c>
      <c r="HM87" s="6">
        <v>408287880</v>
      </c>
      <c r="HN87" s="6">
        <v>408287880</v>
      </c>
      <c r="HO87" s="6">
        <v>408287880</v>
      </c>
      <c r="HP87" s="6">
        <v>408287880</v>
      </c>
      <c r="HQ87" s="6">
        <v>408287880</v>
      </c>
      <c r="HR87" s="6">
        <v>408287880</v>
      </c>
      <c r="HS87" s="6">
        <v>408287880</v>
      </c>
      <c r="HT87" s="6">
        <v>408287880</v>
      </c>
      <c r="HU87" s="6">
        <v>408287880</v>
      </c>
      <c r="HV87" s="6">
        <v>408287880</v>
      </c>
      <c r="HW87" s="6">
        <v>408287880</v>
      </c>
      <c r="HX87" s="6">
        <v>408287880</v>
      </c>
      <c r="HY87" s="6">
        <v>408287880</v>
      </c>
      <c r="HZ87" s="6">
        <v>408287880</v>
      </c>
      <c r="IA87" s="6">
        <v>408287880</v>
      </c>
      <c r="IB87" s="6">
        <v>408287880</v>
      </c>
      <c r="IC87" s="6">
        <v>408287880</v>
      </c>
      <c r="ID87" s="6">
        <v>408287880</v>
      </c>
      <c r="IE87" s="6">
        <v>408287880</v>
      </c>
      <c r="IF87" s="6">
        <v>408287880</v>
      </c>
      <c r="IG87" s="6">
        <v>408287880</v>
      </c>
      <c r="IH87" s="6">
        <v>408287880</v>
      </c>
      <c r="II87" s="6">
        <v>408287880</v>
      </c>
      <c r="IJ87" s="6">
        <v>408287880</v>
      </c>
      <c r="IK87" s="6">
        <v>408287880</v>
      </c>
      <c r="IL87" s="6">
        <v>408287880</v>
      </c>
      <c r="IM87" s="6">
        <v>408287880</v>
      </c>
      <c r="IN87" s="6">
        <v>408287880</v>
      </c>
      <c r="IO87" s="6">
        <v>408287880</v>
      </c>
      <c r="IP87" s="6">
        <v>408287880</v>
      </c>
      <c r="IQ87" s="6">
        <v>408287880</v>
      </c>
      <c r="IR87" s="6">
        <v>408287880</v>
      </c>
      <c r="IS87" s="6">
        <v>408287880</v>
      </c>
      <c r="IT87" s="6">
        <v>408287880</v>
      </c>
      <c r="IU87" s="6">
        <v>408287880</v>
      </c>
      <c r="IV87" s="6">
        <v>408287880</v>
      </c>
      <c r="IW87" s="6">
        <v>408287880</v>
      </c>
      <c r="IX87" s="6">
        <v>408287880</v>
      </c>
      <c r="IY87" s="6">
        <v>408287880</v>
      </c>
    </row>
    <row r="88" spans="1:259" s="6" customFormat="1" ht="16.5" x14ac:dyDescent="0.25">
      <c r="A88" s="91" t="s">
        <v>3</v>
      </c>
      <c r="B88" s="7" t="s">
        <v>50</v>
      </c>
      <c r="C88" s="7" t="s">
        <v>50</v>
      </c>
      <c r="D88" s="7" t="s">
        <v>50</v>
      </c>
      <c r="E88" s="7" t="s">
        <v>47</v>
      </c>
      <c r="F88" s="7"/>
      <c r="G88" s="23" t="s">
        <v>73</v>
      </c>
      <c r="H88" s="7" t="s">
        <v>5</v>
      </c>
      <c r="I88" s="8" t="s">
        <v>6</v>
      </c>
      <c r="J88" s="44">
        <v>1772694389</v>
      </c>
      <c r="K88" s="44">
        <f>2000000+7000000+10000000+45000000+25000000+26000000+33255144+42496130+5100000+3000000+7612000+10850976+5395570+17505066+11471226+2794662+5000000+6713485+590+2325579+6000000+5730730+15000000+8500000+4155655+4000000+15000000+3672360+4000000+5500000+465351+2500000+16693+500000+1000000</f>
        <v>344561217</v>
      </c>
      <c r="L88" s="44">
        <f>252167738.18+24731131+3000000+21000000+63832261+12000000+1519243+31100+58146+497037.9+77570</f>
        <v>378914227.07999998</v>
      </c>
      <c r="M88" s="44">
        <f t="shared" si="25"/>
        <v>1738341378.9200001</v>
      </c>
      <c r="N88" s="9">
        <v>0</v>
      </c>
      <c r="O88" s="44">
        <v>1720997320</v>
      </c>
      <c r="P88" s="27">
        <f t="shared" si="22"/>
        <v>17344058.920000076</v>
      </c>
      <c r="Q88" s="9">
        <v>1720997320</v>
      </c>
      <c r="R88" s="25">
        <f t="shared" si="30"/>
        <v>0.99002263932141132</v>
      </c>
      <c r="S88" s="9">
        <v>1715850455</v>
      </c>
      <c r="T88" s="10">
        <v>1714719667</v>
      </c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5</v>
      </c>
      <c r="I89" s="81" t="s">
        <v>6</v>
      </c>
      <c r="J89" s="64">
        <f t="shared" ref="J89:Q89" si="31">J44+J36</f>
        <v>41726600000</v>
      </c>
      <c r="K89" s="64">
        <f t="shared" si="31"/>
        <v>6343441834.9200001</v>
      </c>
      <c r="L89" s="64">
        <f t="shared" si="31"/>
        <v>9694641834.9200001</v>
      </c>
      <c r="M89" s="64">
        <f t="shared" si="31"/>
        <v>38375400000</v>
      </c>
      <c r="N89" s="64">
        <f t="shared" si="31"/>
        <v>0</v>
      </c>
      <c r="O89" s="64">
        <f t="shared" si="31"/>
        <v>37373121191.909996</v>
      </c>
      <c r="P89" s="64">
        <f t="shared" si="31"/>
        <v>1002278808.0900011</v>
      </c>
      <c r="Q89" s="64">
        <f t="shared" si="31"/>
        <v>37373121191.909996</v>
      </c>
      <c r="R89" s="76">
        <f t="shared" si="30"/>
        <v>0.97388225769399139</v>
      </c>
      <c r="S89" s="64">
        <f>S44+S36</f>
        <v>33179250133.77</v>
      </c>
      <c r="T89" s="73">
        <f>T44+T36</f>
        <v>33177854545.77</v>
      </c>
      <c r="U89" s="32"/>
    </row>
    <row r="90" spans="1:259" ht="16.5" customHeight="1" x14ac:dyDescent="0.25">
      <c r="A90" s="92" t="s">
        <v>3</v>
      </c>
      <c r="B90" s="81" t="s">
        <v>50</v>
      </c>
      <c r="C90" s="81"/>
      <c r="D90" s="81"/>
      <c r="E90" s="81"/>
      <c r="F90" s="81"/>
      <c r="G90" s="81" t="s">
        <v>78</v>
      </c>
      <c r="H90" s="81" t="s">
        <v>8</v>
      </c>
      <c r="I90" s="81">
        <v>20</v>
      </c>
      <c r="J90" s="64">
        <f t="shared" ref="J90:Q91" si="32">J45</f>
        <v>786000000</v>
      </c>
      <c r="K90" s="64">
        <f t="shared" si="32"/>
        <v>0</v>
      </c>
      <c r="L90" s="64">
        <f t="shared" si="32"/>
        <v>0</v>
      </c>
      <c r="M90" s="64">
        <f t="shared" si="32"/>
        <v>786000000</v>
      </c>
      <c r="N90" s="64">
        <f t="shared" si="32"/>
        <v>0</v>
      </c>
      <c r="O90" s="64">
        <f t="shared" si="32"/>
        <v>786000000</v>
      </c>
      <c r="P90" s="64">
        <f t="shared" si="32"/>
        <v>0</v>
      </c>
      <c r="Q90" s="64">
        <f t="shared" si="32"/>
        <v>786000000</v>
      </c>
      <c r="R90" s="76">
        <f t="shared" si="30"/>
        <v>1</v>
      </c>
      <c r="S90" s="64">
        <f>S45</f>
        <v>786000000</v>
      </c>
      <c r="T90" s="73">
        <f>T45</f>
        <v>786000000</v>
      </c>
      <c r="U90" s="32"/>
    </row>
    <row r="91" spans="1:259" ht="16.5" customHeight="1" x14ac:dyDescent="0.25">
      <c r="A91" s="92" t="s">
        <v>3</v>
      </c>
      <c r="B91" s="81" t="s">
        <v>50</v>
      </c>
      <c r="C91" s="81"/>
      <c r="D91" s="81"/>
      <c r="E91" s="81"/>
      <c r="F91" s="81"/>
      <c r="G91" s="81" t="s">
        <v>78</v>
      </c>
      <c r="H91" s="81" t="s">
        <v>8</v>
      </c>
      <c r="I91" s="81">
        <v>21</v>
      </c>
      <c r="J91" s="64">
        <f t="shared" si="32"/>
        <v>391600000</v>
      </c>
      <c r="K91" s="64">
        <f t="shared" si="32"/>
        <v>0</v>
      </c>
      <c r="L91" s="64">
        <f t="shared" si="32"/>
        <v>0</v>
      </c>
      <c r="M91" s="64">
        <f t="shared" si="32"/>
        <v>391600000</v>
      </c>
      <c r="N91" s="64">
        <f t="shared" si="32"/>
        <v>0</v>
      </c>
      <c r="O91" s="64">
        <f t="shared" si="32"/>
        <v>391600000</v>
      </c>
      <c r="P91" s="64">
        <f t="shared" si="32"/>
        <v>0</v>
      </c>
      <c r="Q91" s="64">
        <f t="shared" si="32"/>
        <v>391600000</v>
      </c>
      <c r="R91" s="76">
        <f t="shared" si="30"/>
        <v>1</v>
      </c>
      <c r="S91" s="64">
        <f>S46</f>
        <v>391600000</v>
      </c>
      <c r="T91" s="73">
        <f>T46</f>
        <v>391600000</v>
      </c>
      <c r="U91" s="32"/>
    </row>
    <row r="92" spans="1:259" ht="15.75" customHeight="1" thickBot="1" x14ac:dyDescent="0.3">
      <c r="A92" s="132" t="s">
        <v>81</v>
      </c>
      <c r="B92" s="133"/>
      <c r="C92" s="133"/>
      <c r="D92" s="133"/>
      <c r="E92" s="133"/>
      <c r="F92" s="133"/>
      <c r="G92" s="133"/>
      <c r="H92" s="133"/>
      <c r="I92" s="134"/>
      <c r="J92" s="77">
        <f t="shared" ref="J92:Q92" si="33">SUM(J89:J91)</f>
        <v>42904200000</v>
      </c>
      <c r="K92" s="77">
        <f t="shared" si="33"/>
        <v>6343441834.9200001</v>
      </c>
      <c r="L92" s="77">
        <f t="shared" si="33"/>
        <v>9694641834.9200001</v>
      </c>
      <c r="M92" s="77">
        <f t="shared" si="33"/>
        <v>39553000000</v>
      </c>
      <c r="N92" s="77">
        <f t="shared" si="33"/>
        <v>0</v>
      </c>
      <c r="O92" s="77">
        <f t="shared" si="33"/>
        <v>38550721191.909996</v>
      </c>
      <c r="P92" s="77">
        <f t="shared" si="33"/>
        <v>1002278808.0900011</v>
      </c>
      <c r="Q92" s="77">
        <f t="shared" si="33"/>
        <v>38550721191.909996</v>
      </c>
      <c r="R92" s="76">
        <f t="shared" si="30"/>
        <v>0.97465985366242758</v>
      </c>
      <c r="S92" s="77">
        <f>SUM(S89:S91)</f>
        <v>34356850133.77</v>
      </c>
      <c r="T92" s="78">
        <f>SUM(T89:T91)</f>
        <v>34355454545.77</v>
      </c>
    </row>
    <row r="93" spans="1:259" ht="15.75" customHeight="1" thickBot="1" x14ac:dyDescent="0.3">
      <c r="A93" s="126" t="s">
        <v>87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8"/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51</v>
      </c>
      <c r="D94" s="11"/>
      <c r="E94" s="11"/>
      <c r="F94" s="11"/>
      <c r="G94" s="12" t="s">
        <v>108</v>
      </c>
      <c r="H94" s="11" t="s">
        <v>5</v>
      </c>
      <c r="I94" s="13">
        <v>10</v>
      </c>
      <c r="J94" s="14">
        <f>J95</f>
        <v>14221800000</v>
      </c>
      <c r="K94" s="14">
        <f t="shared" ref="K94:L94" si="34">K95</f>
        <v>0</v>
      </c>
      <c r="L94" s="24">
        <f t="shared" si="34"/>
        <v>12721800000</v>
      </c>
      <c r="M94" s="24">
        <f>M95</f>
        <v>1500000000</v>
      </c>
      <c r="N94" s="14">
        <f>N95</f>
        <v>0</v>
      </c>
      <c r="O94" s="14">
        <f>O95</f>
        <v>1257700909</v>
      </c>
      <c r="P94" s="24">
        <f>P95</f>
        <v>242299091</v>
      </c>
      <c r="Q94" s="14">
        <f t="shared" ref="Q94" si="35">Q95</f>
        <v>1257700909</v>
      </c>
      <c r="R94" s="50">
        <f t="shared" ref="R94:R106" si="36">IF(Q94&gt;1,Q94/(M94-N94),0)</f>
        <v>0.83846727266666665</v>
      </c>
      <c r="S94" s="14">
        <f>S95</f>
        <v>1249591807.5699999</v>
      </c>
      <c r="T94" s="22">
        <f>T95</f>
        <v>1249591807.5699999</v>
      </c>
    </row>
    <row r="95" spans="1:259" s="47" customFormat="1" ht="24.75" customHeight="1" x14ac:dyDescent="0.25">
      <c r="A95" s="90" t="s">
        <v>3</v>
      </c>
      <c r="B95" s="11" t="s">
        <v>51</v>
      </c>
      <c r="C95" s="11" t="s">
        <v>51</v>
      </c>
      <c r="D95" s="11" t="s">
        <v>34</v>
      </c>
      <c r="E95" s="11"/>
      <c r="F95" s="11"/>
      <c r="G95" s="12" t="s">
        <v>89</v>
      </c>
      <c r="H95" s="11" t="s">
        <v>5</v>
      </c>
      <c r="I95" s="13">
        <v>10</v>
      </c>
      <c r="J95" s="14">
        <f>J97+J96</f>
        <v>14221800000</v>
      </c>
      <c r="K95" s="14">
        <f t="shared" ref="K95:L95" si="37">K97+K96</f>
        <v>0</v>
      </c>
      <c r="L95" s="24">
        <f t="shared" si="37"/>
        <v>12721800000</v>
      </c>
      <c r="M95" s="24">
        <f>M97+M96</f>
        <v>1500000000</v>
      </c>
      <c r="N95" s="14">
        <f>N97+N96</f>
        <v>0</v>
      </c>
      <c r="O95" s="14">
        <f>O97+O96</f>
        <v>1257700909</v>
      </c>
      <c r="P95" s="24">
        <f>P97+P96</f>
        <v>242299091</v>
      </c>
      <c r="Q95" s="14">
        <f>Q97+Q96</f>
        <v>1257700909</v>
      </c>
      <c r="R95" s="50">
        <f t="shared" si="36"/>
        <v>0.83846727266666665</v>
      </c>
      <c r="S95" s="14">
        <f>S97+S96</f>
        <v>1249591807.5699999</v>
      </c>
      <c r="T95" s="22">
        <f>T97+T96</f>
        <v>1249591807.5699999</v>
      </c>
    </row>
    <row r="96" spans="1:259" s="47" customFormat="1" ht="24.75" customHeight="1" x14ac:dyDescent="0.25">
      <c r="A96" s="91" t="s">
        <v>3</v>
      </c>
      <c r="B96" s="7" t="s">
        <v>51</v>
      </c>
      <c r="C96" s="7" t="s">
        <v>51</v>
      </c>
      <c r="D96" s="7" t="s">
        <v>34</v>
      </c>
      <c r="E96" s="7" t="s">
        <v>157</v>
      </c>
      <c r="F96" s="7"/>
      <c r="G96" s="23" t="s">
        <v>158</v>
      </c>
      <c r="H96" s="7" t="s">
        <v>5</v>
      </c>
      <c r="I96" s="8">
        <v>10</v>
      </c>
      <c r="J96" s="9">
        <v>1500000000</v>
      </c>
      <c r="K96" s="9">
        <v>0</v>
      </c>
      <c r="L96" s="27">
        <v>0</v>
      </c>
      <c r="M96" s="27">
        <f>J96+K96-L96</f>
        <v>1500000000</v>
      </c>
      <c r="N96" s="9">
        <v>0</v>
      </c>
      <c r="O96" s="9">
        <v>1257700909</v>
      </c>
      <c r="P96" s="27">
        <f>M96-O96-N96</f>
        <v>242299091</v>
      </c>
      <c r="Q96" s="9">
        <v>1257700909</v>
      </c>
      <c r="R96" s="96">
        <f t="shared" si="36"/>
        <v>0.83846727266666665</v>
      </c>
      <c r="S96" s="9">
        <v>1249591807.5699999</v>
      </c>
      <c r="T96" s="10">
        <v>1249591807.5699999</v>
      </c>
    </row>
    <row r="97" spans="1:22" s="47" customFormat="1" ht="24.75" customHeight="1" x14ac:dyDescent="0.25">
      <c r="A97" s="91" t="s">
        <v>3</v>
      </c>
      <c r="B97" s="7" t="s">
        <v>51</v>
      </c>
      <c r="C97" s="7" t="s">
        <v>51</v>
      </c>
      <c r="D97" s="7" t="s">
        <v>34</v>
      </c>
      <c r="E97" s="7">
        <v>999</v>
      </c>
      <c r="F97" s="7"/>
      <c r="G97" s="23" t="s">
        <v>148</v>
      </c>
      <c r="H97" s="7" t="s">
        <v>5</v>
      </c>
      <c r="I97" s="8">
        <v>10</v>
      </c>
      <c r="J97" s="9">
        <v>12721800000</v>
      </c>
      <c r="K97" s="27">
        <v>0</v>
      </c>
      <c r="L97" s="27">
        <v>12721800000</v>
      </c>
      <c r="M97" s="27">
        <f t="shared" ref="M97:M104" si="38">J97+K97-L97</f>
        <v>0</v>
      </c>
      <c r="N97" s="109">
        <v>0</v>
      </c>
      <c r="O97" s="9">
        <v>0</v>
      </c>
      <c r="P97" s="27">
        <f>+M97-O97-N97</f>
        <v>0</v>
      </c>
      <c r="Q97" s="9">
        <v>0</v>
      </c>
      <c r="R97" s="50">
        <f>IF(Q97&gt;1,Q97/(M97-N97),0)</f>
        <v>0</v>
      </c>
      <c r="S97" s="9">
        <v>0</v>
      </c>
      <c r="T97" s="10">
        <v>0</v>
      </c>
    </row>
    <row r="98" spans="1:22" s="47" customFormat="1" ht="24.75" customHeight="1" x14ac:dyDescent="0.25">
      <c r="A98" s="90" t="s">
        <v>3</v>
      </c>
      <c r="B98" s="11" t="s">
        <v>51</v>
      </c>
      <c r="C98" s="11" t="s">
        <v>70</v>
      </c>
      <c r="D98" s="11"/>
      <c r="E98" s="11"/>
      <c r="F98" s="11"/>
      <c r="G98" s="12" t="s">
        <v>144</v>
      </c>
      <c r="H98" s="11" t="s">
        <v>5</v>
      </c>
      <c r="I98" s="13">
        <v>10</v>
      </c>
      <c r="J98" s="14">
        <f>J99</f>
        <v>1262700000</v>
      </c>
      <c r="K98" s="24">
        <f t="shared" ref="K98:L99" si="39">K99</f>
        <v>639000000</v>
      </c>
      <c r="L98" s="24">
        <f t="shared" si="39"/>
        <v>10000000</v>
      </c>
      <c r="M98" s="24">
        <f t="shared" si="38"/>
        <v>1891700000</v>
      </c>
      <c r="N98" s="14">
        <v>0</v>
      </c>
      <c r="O98" s="14">
        <f t="shared" ref="O98:Q99" si="40">O99</f>
        <v>1103505807</v>
      </c>
      <c r="P98" s="24">
        <f>P99</f>
        <v>788194193</v>
      </c>
      <c r="Q98" s="14">
        <f t="shared" si="40"/>
        <v>1103505807</v>
      </c>
      <c r="R98" s="50">
        <f>IF(Q98&gt;1,Q98/(M98-N98),0)</f>
        <v>0.58334080826769574</v>
      </c>
      <c r="S98" s="14">
        <f>S99</f>
        <v>1103505807</v>
      </c>
      <c r="T98" s="22">
        <f>T99</f>
        <v>1103505807</v>
      </c>
    </row>
    <row r="99" spans="1:22" s="47" customFormat="1" ht="24.75" customHeight="1" x14ac:dyDescent="0.25">
      <c r="A99" s="90" t="s">
        <v>3</v>
      </c>
      <c r="B99" s="11" t="s">
        <v>51</v>
      </c>
      <c r="C99" s="11" t="s">
        <v>70</v>
      </c>
      <c r="D99" s="11" t="s">
        <v>50</v>
      </c>
      <c r="E99" s="11"/>
      <c r="F99" s="11"/>
      <c r="G99" s="12" t="s">
        <v>109</v>
      </c>
      <c r="H99" s="11" t="s">
        <v>5</v>
      </c>
      <c r="I99" s="13">
        <v>10</v>
      </c>
      <c r="J99" s="24">
        <f>J100</f>
        <v>1262700000</v>
      </c>
      <c r="K99" s="24">
        <f t="shared" si="39"/>
        <v>639000000</v>
      </c>
      <c r="L99" s="24">
        <f t="shared" si="39"/>
        <v>10000000</v>
      </c>
      <c r="M99" s="24">
        <f t="shared" si="38"/>
        <v>1891700000</v>
      </c>
      <c r="N99" s="24"/>
      <c r="O99" s="24">
        <f t="shared" si="40"/>
        <v>1103505807</v>
      </c>
      <c r="P99" s="24">
        <f t="shared" si="40"/>
        <v>788194193</v>
      </c>
      <c r="Q99" s="14">
        <f t="shared" si="40"/>
        <v>1103505807</v>
      </c>
      <c r="R99" s="50">
        <f t="shared" si="36"/>
        <v>0.58334080826769574</v>
      </c>
      <c r="S99" s="14">
        <f>S100</f>
        <v>1103505807</v>
      </c>
      <c r="T99" s="22">
        <f>T100</f>
        <v>1103505807</v>
      </c>
    </row>
    <row r="100" spans="1:22" s="6" customFormat="1" ht="16.5" customHeight="1" x14ac:dyDescent="0.25">
      <c r="A100" s="90" t="s">
        <v>3</v>
      </c>
      <c r="B100" s="11" t="s">
        <v>51</v>
      </c>
      <c r="C100" s="11" t="s">
        <v>70</v>
      </c>
      <c r="D100" s="11" t="s">
        <v>50</v>
      </c>
      <c r="E100" s="11" t="s">
        <v>71</v>
      </c>
      <c r="F100" s="11"/>
      <c r="G100" s="12" t="s">
        <v>82</v>
      </c>
      <c r="H100" s="11" t="s">
        <v>5</v>
      </c>
      <c r="I100" s="13">
        <v>10</v>
      </c>
      <c r="J100" s="24">
        <f>J101+J102</f>
        <v>1262700000</v>
      </c>
      <c r="K100" s="24">
        <f t="shared" ref="K100:L100" si="41">K101+K102</f>
        <v>639000000</v>
      </c>
      <c r="L100" s="24">
        <f t="shared" si="41"/>
        <v>10000000</v>
      </c>
      <c r="M100" s="24">
        <f t="shared" si="38"/>
        <v>1891700000</v>
      </c>
      <c r="N100" s="24">
        <f>N101+N102</f>
        <v>0</v>
      </c>
      <c r="O100" s="24">
        <f>O101+O102</f>
        <v>1103505807</v>
      </c>
      <c r="P100" s="24">
        <f>P101+P102</f>
        <v>788194193</v>
      </c>
      <c r="Q100" s="24">
        <f>Q101+Q102</f>
        <v>1103505807</v>
      </c>
      <c r="R100" s="26">
        <f t="shared" si="36"/>
        <v>0.58334080826769574</v>
      </c>
      <c r="S100" s="14">
        <f>S101+S102</f>
        <v>1103505807</v>
      </c>
      <c r="T100" s="22">
        <f>T101+T102</f>
        <v>1103505807</v>
      </c>
    </row>
    <row r="101" spans="1:22" s="6" customFormat="1" ht="16.5" customHeight="1" x14ac:dyDescent="0.25">
      <c r="A101" s="91" t="s">
        <v>3</v>
      </c>
      <c r="B101" s="7" t="s">
        <v>51</v>
      </c>
      <c r="C101" s="7" t="s">
        <v>70</v>
      </c>
      <c r="D101" s="7" t="s">
        <v>50</v>
      </c>
      <c r="E101" s="7" t="s">
        <v>71</v>
      </c>
      <c r="F101" s="7" t="s">
        <v>35</v>
      </c>
      <c r="G101" s="23" t="s">
        <v>74</v>
      </c>
      <c r="H101" s="7" t="s">
        <v>5</v>
      </c>
      <c r="I101" s="7" t="s">
        <v>6</v>
      </c>
      <c r="J101" s="27">
        <v>661204158</v>
      </c>
      <c r="K101" s="27">
        <f>10000000+592543339</f>
        <v>602543339</v>
      </c>
      <c r="L101" s="27">
        <v>0</v>
      </c>
      <c r="M101" s="27">
        <f t="shared" si="38"/>
        <v>1263747497</v>
      </c>
      <c r="N101" s="9"/>
      <c r="O101" s="27">
        <v>640208031</v>
      </c>
      <c r="P101" s="27">
        <f>+M101-O101-N101</f>
        <v>623539466</v>
      </c>
      <c r="Q101" s="27">
        <v>640208031</v>
      </c>
      <c r="R101" s="25">
        <f t="shared" si="36"/>
        <v>0.50659489535669477</v>
      </c>
      <c r="S101" s="27">
        <v>640208031</v>
      </c>
      <c r="T101" s="51">
        <v>640208031</v>
      </c>
    </row>
    <row r="102" spans="1:22" s="47" customFormat="1" ht="16.5" customHeight="1" x14ac:dyDescent="0.25">
      <c r="A102" s="91" t="s">
        <v>3</v>
      </c>
      <c r="B102" s="7" t="s">
        <v>51</v>
      </c>
      <c r="C102" s="7" t="s">
        <v>70</v>
      </c>
      <c r="D102" s="7" t="s">
        <v>50</v>
      </c>
      <c r="E102" s="7" t="s">
        <v>71</v>
      </c>
      <c r="F102" s="7" t="s">
        <v>37</v>
      </c>
      <c r="G102" s="23" t="s">
        <v>75</v>
      </c>
      <c r="H102" s="7" t="s">
        <v>5</v>
      </c>
      <c r="I102" s="7" t="s">
        <v>6</v>
      </c>
      <c r="J102" s="27">
        <v>601495842</v>
      </c>
      <c r="K102" s="27">
        <v>36456661</v>
      </c>
      <c r="L102" s="27">
        <v>10000000</v>
      </c>
      <c r="M102" s="27">
        <f t="shared" si="38"/>
        <v>627952503</v>
      </c>
      <c r="N102" s="9">
        <v>0</v>
      </c>
      <c r="O102" s="27">
        <v>463297776</v>
      </c>
      <c r="P102" s="27">
        <f>+M102-O102-N102</f>
        <v>164654727</v>
      </c>
      <c r="Q102" s="27">
        <v>463297776</v>
      </c>
      <c r="R102" s="25">
        <f t="shared" si="36"/>
        <v>0.7377911128415392</v>
      </c>
      <c r="S102" s="27">
        <v>463297776</v>
      </c>
      <c r="T102" s="51">
        <v>463297776</v>
      </c>
    </row>
    <row r="103" spans="1:22" s="6" customFormat="1" ht="16.5" customHeight="1" x14ac:dyDescent="0.25">
      <c r="A103" s="90" t="s">
        <v>3</v>
      </c>
      <c r="B103" s="11" t="s">
        <v>51</v>
      </c>
      <c r="C103" s="11" t="s">
        <v>6</v>
      </c>
      <c r="D103" s="11"/>
      <c r="E103" s="11"/>
      <c r="F103" s="11"/>
      <c r="G103" s="12" t="s">
        <v>86</v>
      </c>
      <c r="H103" s="11" t="s">
        <v>5</v>
      </c>
      <c r="I103" s="11">
        <v>11</v>
      </c>
      <c r="J103" s="24">
        <f>J104</f>
        <v>1015700000</v>
      </c>
      <c r="K103" s="24">
        <f t="shared" ref="K103:L103" si="42">K104</f>
        <v>0</v>
      </c>
      <c r="L103" s="24">
        <f t="shared" si="42"/>
        <v>0</v>
      </c>
      <c r="M103" s="24">
        <f t="shared" si="38"/>
        <v>1015700000</v>
      </c>
      <c r="N103" s="14">
        <f>N104</f>
        <v>0</v>
      </c>
      <c r="O103" s="24">
        <f>O104</f>
        <v>823424371.80999994</v>
      </c>
      <c r="P103" s="24">
        <f>P104</f>
        <v>192275628.19000006</v>
      </c>
      <c r="Q103" s="24">
        <f>Q104</f>
        <v>823424371.80999994</v>
      </c>
      <c r="R103" s="26">
        <f t="shared" si="36"/>
        <v>0.81069643773752087</v>
      </c>
      <c r="S103" s="24">
        <f>S104</f>
        <v>823424371.80999994</v>
      </c>
      <c r="T103" s="33">
        <f>T104</f>
        <v>823424371.80999994</v>
      </c>
    </row>
    <row r="104" spans="1:22" s="6" customFormat="1" ht="16.5" customHeight="1" x14ac:dyDescent="0.25">
      <c r="A104" s="90" t="s">
        <v>3</v>
      </c>
      <c r="B104" s="71" t="s">
        <v>51</v>
      </c>
      <c r="C104" s="7" t="s">
        <v>6</v>
      </c>
      <c r="D104" s="7"/>
      <c r="E104" s="7"/>
      <c r="F104" s="7"/>
      <c r="G104" s="23" t="s">
        <v>86</v>
      </c>
      <c r="H104" s="7" t="s">
        <v>5</v>
      </c>
      <c r="I104" s="7">
        <v>11</v>
      </c>
      <c r="J104" s="27">
        <v>1015700000</v>
      </c>
      <c r="K104" s="27">
        <v>0</v>
      </c>
      <c r="L104" s="27">
        <v>0</v>
      </c>
      <c r="M104" s="27">
        <f t="shared" si="38"/>
        <v>1015700000</v>
      </c>
      <c r="N104" s="9">
        <v>0</v>
      </c>
      <c r="O104" s="9">
        <v>823424371.80999994</v>
      </c>
      <c r="P104" s="27">
        <f>+M104-O104-N104</f>
        <v>192275628.19000006</v>
      </c>
      <c r="Q104" s="27">
        <v>823424371.80999994</v>
      </c>
      <c r="R104" s="25">
        <f t="shared" si="36"/>
        <v>0.81069643773752087</v>
      </c>
      <c r="S104" s="27">
        <v>823424371.80999994</v>
      </c>
      <c r="T104" s="51">
        <v>823424371.80999994</v>
      </c>
    </row>
    <row r="105" spans="1:22" s="55" customFormat="1" ht="16.5" customHeight="1" x14ac:dyDescent="0.25">
      <c r="A105" s="92" t="s">
        <v>3</v>
      </c>
      <c r="B105" s="81" t="s">
        <v>51</v>
      </c>
      <c r="C105" s="81"/>
      <c r="D105" s="81"/>
      <c r="E105" s="81"/>
      <c r="F105" s="81"/>
      <c r="G105" s="82" t="s">
        <v>17</v>
      </c>
      <c r="H105" s="81" t="s">
        <v>5</v>
      </c>
      <c r="I105" s="83" t="s">
        <v>6</v>
      </c>
      <c r="J105" s="64">
        <f>J103+J98+J94</f>
        <v>16500200000</v>
      </c>
      <c r="K105" s="64">
        <f>K103+K98+K94</f>
        <v>639000000</v>
      </c>
      <c r="L105" s="64">
        <f t="shared" ref="L105" si="43">L103+L98+L94</f>
        <v>12731800000</v>
      </c>
      <c r="M105" s="64">
        <f>M103+M98+M94</f>
        <v>4407400000</v>
      </c>
      <c r="N105" s="64">
        <f>N103+N98+N94</f>
        <v>0</v>
      </c>
      <c r="O105" s="64">
        <f>O103+O98+O94</f>
        <v>3184631087.8099999</v>
      </c>
      <c r="P105" s="64">
        <f>P103+P98+P94</f>
        <v>1222768912.1900001</v>
      </c>
      <c r="Q105" s="64">
        <f>Q103+Q98+Q94</f>
        <v>3184631087.8099999</v>
      </c>
      <c r="R105" s="76">
        <f t="shared" si="36"/>
        <v>0.72256457045196709</v>
      </c>
      <c r="S105" s="64">
        <f>S103+S98+S94</f>
        <v>3176521986.3800001</v>
      </c>
      <c r="T105" s="73">
        <f>T103+T98+T94</f>
        <v>3176521986.3800001</v>
      </c>
      <c r="U105" s="54"/>
      <c r="V105" s="54"/>
    </row>
    <row r="106" spans="1:22" s="6" customFormat="1" ht="16.5" customHeight="1" thickBot="1" x14ac:dyDescent="0.3">
      <c r="A106" s="132" t="s">
        <v>27</v>
      </c>
      <c r="B106" s="133"/>
      <c r="C106" s="133"/>
      <c r="D106" s="133"/>
      <c r="E106" s="133"/>
      <c r="F106" s="133"/>
      <c r="G106" s="133"/>
      <c r="H106" s="133"/>
      <c r="I106" s="134"/>
      <c r="J106" s="77">
        <f>J105</f>
        <v>16500200000</v>
      </c>
      <c r="K106" s="77">
        <f t="shared" ref="K106:L106" si="44">K105</f>
        <v>639000000</v>
      </c>
      <c r="L106" s="77">
        <f t="shared" si="44"/>
        <v>12731800000</v>
      </c>
      <c r="M106" s="77">
        <f>M105</f>
        <v>4407400000</v>
      </c>
      <c r="N106" s="77">
        <f>N105</f>
        <v>0</v>
      </c>
      <c r="O106" s="77">
        <f>O105</f>
        <v>3184631087.8099999</v>
      </c>
      <c r="P106" s="77">
        <f>P105</f>
        <v>1222768912.1900001</v>
      </c>
      <c r="Q106" s="77">
        <f>Q105</f>
        <v>3184631087.8099999</v>
      </c>
      <c r="R106" s="76">
        <f t="shared" si="36"/>
        <v>0.72256457045196709</v>
      </c>
      <c r="S106" s="77">
        <f>S105</f>
        <v>3176521986.3800001</v>
      </c>
      <c r="T106" s="78">
        <f>T105</f>
        <v>3176521986.3800001</v>
      </c>
    </row>
    <row r="107" spans="1:22" s="47" customFormat="1" ht="16.5" customHeight="1" thickBot="1" x14ac:dyDescent="0.3">
      <c r="A107" s="126" t="s">
        <v>106</v>
      </c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8"/>
    </row>
    <row r="108" spans="1:22" s="47" customFormat="1" ht="16.5" customHeight="1" x14ac:dyDescent="0.25">
      <c r="A108" s="90" t="s">
        <v>3</v>
      </c>
      <c r="B108" s="11" t="s">
        <v>72</v>
      </c>
      <c r="C108" s="11"/>
      <c r="D108" s="11"/>
      <c r="E108" s="11"/>
      <c r="F108" s="11"/>
      <c r="G108" s="12" t="s">
        <v>85</v>
      </c>
      <c r="H108" s="11" t="s">
        <v>5</v>
      </c>
      <c r="I108" s="11" t="s">
        <v>6</v>
      </c>
      <c r="J108" s="24">
        <f>J110</f>
        <v>469200000</v>
      </c>
      <c r="K108" s="24">
        <f t="shared" ref="K108:L108" si="45">K110</f>
        <v>0</v>
      </c>
      <c r="L108" s="24">
        <f t="shared" si="45"/>
        <v>41941000</v>
      </c>
      <c r="M108" s="24">
        <f>M110</f>
        <v>427259000</v>
      </c>
      <c r="N108" s="24">
        <f>N110+N114</f>
        <v>0</v>
      </c>
      <c r="O108" s="24">
        <f>O110</f>
        <v>427258701</v>
      </c>
      <c r="P108" s="24">
        <f>P110</f>
        <v>299</v>
      </c>
      <c r="Q108" s="24">
        <f>Q110</f>
        <v>427258701</v>
      </c>
      <c r="R108" s="26">
        <f>IF(Q108&gt;1,Q108/(M108-N108),0)</f>
        <v>0.99999930019028271</v>
      </c>
      <c r="S108" s="24">
        <f>S110</f>
        <v>427258701</v>
      </c>
      <c r="T108" s="33">
        <f>T110</f>
        <v>427258701</v>
      </c>
    </row>
    <row r="109" spans="1:22" s="47" customFormat="1" ht="16.5" customHeight="1" x14ac:dyDescent="0.25">
      <c r="A109" s="90" t="s">
        <v>3</v>
      </c>
      <c r="B109" s="11" t="s">
        <v>72</v>
      </c>
      <c r="C109" s="11"/>
      <c r="D109" s="11"/>
      <c r="E109" s="11"/>
      <c r="F109" s="11"/>
      <c r="G109" s="12" t="s">
        <v>85</v>
      </c>
      <c r="H109" s="11" t="s">
        <v>5</v>
      </c>
      <c r="I109" s="11">
        <v>11</v>
      </c>
      <c r="J109" s="24">
        <f>J113</f>
        <v>850000000</v>
      </c>
      <c r="K109" s="24">
        <f t="shared" ref="K109:L109" si="46">K113</f>
        <v>0</v>
      </c>
      <c r="L109" s="24">
        <f t="shared" si="46"/>
        <v>0</v>
      </c>
      <c r="M109" s="24">
        <f>M113</f>
        <v>850000000</v>
      </c>
      <c r="N109" s="24">
        <f>N113</f>
        <v>0</v>
      </c>
      <c r="O109" s="24">
        <f>O113</f>
        <v>804689094</v>
      </c>
      <c r="P109" s="24">
        <f>P113</f>
        <v>45310906</v>
      </c>
      <c r="Q109" s="24">
        <f>Q113</f>
        <v>804689094</v>
      </c>
      <c r="R109" s="26">
        <f t="shared" ref="R109:R122" si="47">IF(Q109&gt;1,Q109/(M109-N109),0)</f>
        <v>0.94669305176470586</v>
      </c>
      <c r="S109" s="24">
        <f>S113</f>
        <v>804689094</v>
      </c>
      <c r="T109" s="33">
        <f>T113</f>
        <v>804689094</v>
      </c>
    </row>
    <row r="110" spans="1:22" s="6" customFormat="1" ht="16.5" customHeight="1" x14ac:dyDescent="0.25">
      <c r="A110" s="90" t="s">
        <v>3</v>
      </c>
      <c r="B110" s="11" t="s">
        <v>72</v>
      </c>
      <c r="C110" s="11" t="s">
        <v>34</v>
      </c>
      <c r="D110" s="11"/>
      <c r="E110" s="11"/>
      <c r="F110" s="11"/>
      <c r="G110" s="12" t="s">
        <v>83</v>
      </c>
      <c r="H110" s="11" t="s">
        <v>5</v>
      </c>
      <c r="I110" s="11" t="s">
        <v>6</v>
      </c>
      <c r="J110" s="24">
        <f>J111+J112</f>
        <v>469200000</v>
      </c>
      <c r="K110" s="24">
        <f t="shared" ref="K110" si="48">K111+K112</f>
        <v>0</v>
      </c>
      <c r="L110" s="24">
        <f>L111+L112</f>
        <v>41941000</v>
      </c>
      <c r="M110" s="24">
        <f>M111+M112</f>
        <v>427259000</v>
      </c>
      <c r="N110" s="24">
        <f>N111+N112</f>
        <v>0</v>
      </c>
      <c r="O110" s="24">
        <f>O111+O112</f>
        <v>427258701</v>
      </c>
      <c r="P110" s="24">
        <f>M110-O110-N110</f>
        <v>299</v>
      </c>
      <c r="Q110" s="24">
        <f>Q111+Q112</f>
        <v>427258701</v>
      </c>
      <c r="R110" s="26">
        <f>IF(Q110&gt;1,Q110/(M110-N110),0)</f>
        <v>0.99999930019028271</v>
      </c>
      <c r="S110" s="24">
        <f>S111+S112</f>
        <v>427258701</v>
      </c>
      <c r="T110" s="33">
        <f>T111+T112</f>
        <v>427258701</v>
      </c>
    </row>
    <row r="111" spans="1:22" s="6" customFormat="1" ht="16.5" customHeight="1" x14ac:dyDescent="0.25">
      <c r="A111" s="90" t="s">
        <v>3</v>
      </c>
      <c r="B111" s="7" t="s">
        <v>72</v>
      </c>
      <c r="C111" s="7" t="s">
        <v>34</v>
      </c>
      <c r="D111" s="7" t="s">
        <v>50</v>
      </c>
      <c r="E111" s="7" t="s">
        <v>35</v>
      </c>
      <c r="F111" s="7"/>
      <c r="G111" s="23" t="s">
        <v>76</v>
      </c>
      <c r="H111" s="7" t="s">
        <v>5</v>
      </c>
      <c r="I111" s="7" t="s">
        <v>6</v>
      </c>
      <c r="J111" s="27">
        <v>458200000</v>
      </c>
      <c r="K111" s="27">
        <v>0</v>
      </c>
      <c r="L111" s="27">
        <v>39294300</v>
      </c>
      <c r="M111" s="27">
        <f t="shared" ref="M111:M112" si="49">J111+K111-L111</f>
        <v>418905700</v>
      </c>
      <c r="N111" s="9">
        <v>0</v>
      </c>
      <c r="O111" s="27">
        <v>418905401</v>
      </c>
      <c r="P111" s="27">
        <f>+M111-O111-N111</f>
        <v>299</v>
      </c>
      <c r="Q111" s="27">
        <v>418905401</v>
      </c>
      <c r="R111" s="26">
        <f>IF(Q111&gt;1,Q111/(M111-N111),0)</f>
        <v>0.9999992862355418</v>
      </c>
      <c r="S111" s="27">
        <v>418905401</v>
      </c>
      <c r="T111" s="51">
        <v>418905401</v>
      </c>
    </row>
    <row r="112" spans="1:22" s="47" customFormat="1" ht="16.5" customHeight="1" x14ac:dyDescent="0.25">
      <c r="A112" s="90" t="s">
        <v>3</v>
      </c>
      <c r="B112" s="7" t="s">
        <v>72</v>
      </c>
      <c r="C112" s="7" t="s">
        <v>34</v>
      </c>
      <c r="D112" s="7" t="s">
        <v>50</v>
      </c>
      <c r="E112" s="7" t="s">
        <v>43</v>
      </c>
      <c r="F112" s="7"/>
      <c r="G112" s="23" t="s">
        <v>77</v>
      </c>
      <c r="H112" s="7" t="s">
        <v>5</v>
      </c>
      <c r="I112" s="7" t="s">
        <v>6</v>
      </c>
      <c r="J112" s="27">
        <v>11000000</v>
      </c>
      <c r="K112" s="27">
        <v>0</v>
      </c>
      <c r="L112" s="27">
        <v>2646700</v>
      </c>
      <c r="M112" s="27">
        <f t="shared" si="49"/>
        <v>8353300</v>
      </c>
      <c r="N112" s="9">
        <v>0</v>
      </c>
      <c r="O112" s="27">
        <v>8353300</v>
      </c>
      <c r="P112" s="27">
        <f>+M112-O112-N112</f>
        <v>0</v>
      </c>
      <c r="Q112" s="27">
        <v>8353300</v>
      </c>
      <c r="R112" s="26">
        <f t="shared" si="47"/>
        <v>1</v>
      </c>
      <c r="S112" s="27">
        <v>8353300</v>
      </c>
      <c r="T112" s="51">
        <v>8353300</v>
      </c>
    </row>
    <row r="113" spans="1:21" s="47" customFormat="1" ht="16.5" customHeight="1" x14ac:dyDescent="0.25">
      <c r="A113" s="90" t="s">
        <v>3</v>
      </c>
      <c r="B113" s="11" t="s">
        <v>72</v>
      </c>
      <c r="C113" s="11" t="s">
        <v>70</v>
      </c>
      <c r="D113" s="11"/>
      <c r="E113" s="11"/>
      <c r="F113" s="11"/>
      <c r="G113" s="12" t="s">
        <v>142</v>
      </c>
      <c r="H113" s="11" t="s">
        <v>5</v>
      </c>
      <c r="I113" s="11">
        <v>11</v>
      </c>
      <c r="J113" s="24">
        <f>J114</f>
        <v>850000000</v>
      </c>
      <c r="K113" s="24">
        <f t="shared" ref="K113:L114" si="50">K114</f>
        <v>0</v>
      </c>
      <c r="L113" s="24">
        <f t="shared" si="50"/>
        <v>0</v>
      </c>
      <c r="M113" s="24">
        <f>M114</f>
        <v>850000000</v>
      </c>
      <c r="N113" s="14">
        <f>N114</f>
        <v>0</v>
      </c>
      <c r="O113" s="24">
        <f t="shared" ref="O113:T114" si="51">O114</f>
        <v>804689094</v>
      </c>
      <c r="P113" s="24">
        <f>+M113-O113-N113</f>
        <v>45310906</v>
      </c>
      <c r="Q113" s="24">
        <f t="shared" si="51"/>
        <v>804689094</v>
      </c>
      <c r="R113" s="26">
        <f t="shared" si="47"/>
        <v>0.94669305176470586</v>
      </c>
      <c r="S113" s="24">
        <f t="shared" si="51"/>
        <v>804689094</v>
      </c>
      <c r="T113" s="33">
        <f t="shared" si="51"/>
        <v>804689094</v>
      </c>
    </row>
    <row r="114" spans="1:21" s="6" customFormat="1" ht="16.5" customHeight="1" x14ac:dyDescent="0.25">
      <c r="A114" s="90" t="s">
        <v>3</v>
      </c>
      <c r="B114" s="11" t="s">
        <v>72</v>
      </c>
      <c r="C114" s="11" t="s">
        <v>70</v>
      </c>
      <c r="D114" s="71" t="s">
        <v>34</v>
      </c>
      <c r="E114" s="11"/>
      <c r="F114" s="11"/>
      <c r="G114" s="12" t="s">
        <v>84</v>
      </c>
      <c r="H114" s="11" t="s">
        <v>5</v>
      </c>
      <c r="I114" s="11">
        <v>11</v>
      </c>
      <c r="J114" s="24">
        <f>J115</f>
        <v>850000000</v>
      </c>
      <c r="K114" s="24">
        <f t="shared" si="50"/>
        <v>0</v>
      </c>
      <c r="L114" s="24">
        <f t="shared" si="50"/>
        <v>0</v>
      </c>
      <c r="M114" s="24">
        <f>M115</f>
        <v>850000000</v>
      </c>
      <c r="N114" s="14">
        <f>N115</f>
        <v>0</v>
      </c>
      <c r="O114" s="24">
        <f t="shared" si="51"/>
        <v>804689094</v>
      </c>
      <c r="P114" s="24">
        <f>+M114-O114-N114</f>
        <v>45310906</v>
      </c>
      <c r="Q114" s="24">
        <f t="shared" si="51"/>
        <v>804689094</v>
      </c>
      <c r="R114" s="26">
        <f t="shared" si="47"/>
        <v>0.94669305176470586</v>
      </c>
      <c r="S114" s="24">
        <f t="shared" si="51"/>
        <v>804689094</v>
      </c>
      <c r="T114" s="33">
        <f t="shared" si="51"/>
        <v>804689094</v>
      </c>
    </row>
    <row r="115" spans="1:21" ht="18" customHeight="1" x14ac:dyDescent="0.25">
      <c r="A115" s="91" t="s">
        <v>3</v>
      </c>
      <c r="B115" s="7" t="s">
        <v>72</v>
      </c>
      <c r="C115" s="7" t="s">
        <v>70</v>
      </c>
      <c r="D115" s="7" t="s">
        <v>34</v>
      </c>
      <c r="E115" s="7"/>
      <c r="F115" s="7"/>
      <c r="G115" s="23" t="s">
        <v>84</v>
      </c>
      <c r="H115" s="7" t="s">
        <v>5</v>
      </c>
      <c r="I115" s="7">
        <v>11</v>
      </c>
      <c r="J115" s="27">
        <v>850000000</v>
      </c>
      <c r="K115" s="27">
        <v>0</v>
      </c>
      <c r="L115" s="27">
        <v>0</v>
      </c>
      <c r="M115" s="27">
        <f>J115+K115-L115</f>
        <v>850000000</v>
      </c>
      <c r="N115" s="9">
        <v>0</v>
      </c>
      <c r="O115" s="27">
        <v>804689094</v>
      </c>
      <c r="P115" s="27">
        <f>+M115-O115-N115</f>
        <v>45310906</v>
      </c>
      <c r="Q115" s="27">
        <v>804689094</v>
      </c>
      <c r="R115" s="25">
        <f t="shared" si="47"/>
        <v>0.94669305176470586</v>
      </c>
      <c r="S115" s="27">
        <v>804689094</v>
      </c>
      <c r="T115" s="51">
        <v>804689094</v>
      </c>
    </row>
    <row r="116" spans="1:21" ht="26.25" customHeight="1" x14ac:dyDescent="0.25">
      <c r="A116" s="92" t="s">
        <v>3</v>
      </c>
      <c r="B116" s="81" t="s">
        <v>72</v>
      </c>
      <c r="C116" s="81"/>
      <c r="D116" s="81"/>
      <c r="E116" s="81"/>
      <c r="F116" s="81"/>
      <c r="G116" s="82" t="s">
        <v>105</v>
      </c>
      <c r="H116" s="81" t="s">
        <v>5</v>
      </c>
      <c r="I116" s="83" t="s">
        <v>6</v>
      </c>
      <c r="J116" s="64">
        <f>J108</f>
        <v>469200000</v>
      </c>
      <c r="K116" s="64">
        <f t="shared" ref="K116:L116" si="52">K108</f>
        <v>0</v>
      </c>
      <c r="L116" s="64">
        <f t="shared" si="52"/>
        <v>41941000</v>
      </c>
      <c r="M116" s="64">
        <f>M108</f>
        <v>427259000</v>
      </c>
      <c r="N116" s="64">
        <f>N110</f>
        <v>0</v>
      </c>
      <c r="O116" s="64">
        <f>O110</f>
        <v>427258701</v>
      </c>
      <c r="P116" s="64">
        <f>P110</f>
        <v>299</v>
      </c>
      <c r="Q116" s="64">
        <f>Q110</f>
        <v>427258701</v>
      </c>
      <c r="R116" s="76">
        <f t="shared" si="47"/>
        <v>0.99999930019028271</v>
      </c>
      <c r="S116" s="64">
        <f>S110</f>
        <v>427258701</v>
      </c>
      <c r="T116" s="73">
        <f>T110</f>
        <v>427258701</v>
      </c>
    </row>
    <row r="117" spans="1:21" ht="26.25" customHeight="1" x14ac:dyDescent="0.25">
      <c r="A117" s="92" t="s">
        <v>3</v>
      </c>
      <c r="B117" s="81" t="s">
        <v>72</v>
      </c>
      <c r="C117" s="81"/>
      <c r="D117" s="81"/>
      <c r="E117" s="81"/>
      <c r="F117" s="81"/>
      <c r="G117" s="82" t="s">
        <v>105</v>
      </c>
      <c r="H117" s="81" t="s">
        <v>5</v>
      </c>
      <c r="I117" s="83">
        <v>11</v>
      </c>
      <c r="J117" s="64">
        <f>J109</f>
        <v>850000000</v>
      </c>
      <c r="K117" s="64">
        <f t="shared" ref="K117:L117" si="53">K109</f>
        <v>0</v>
      </c>
      <c r="L117" s="64">
        <f t="shared" si="53"/>
        <v>0</v>
      </c>
      <c r="M117" s="64">
        <f>M109</f>
        <v>850000000</v>
      </c>
      <c r="N117" s="64">
        <f>N114</f>
        <v>0</v>
      </c>
      <c r="O117" s="64">
        <f>O109</f>
        <v>804689094</v>
      </c>
      <c r="P117" s="64">
        <f>P109</f>
        <v>45310906</v>
      </c>
      <c r="Q117" s="64">
        <f>Q109</f>
        <v>804689094</v>
      </c>
      <c r="R117" s="76">
        <f t="shared" si="47"/>
        <v>0.94669305176470586</v>
      </c>
      <c r="S117" s="64">
        <f>S109</f>
        <v>804689094</v>
      </c>
      <c r="T117" s="73">
        <f>T109</f>
        <v>804689094</v>
      </c>
    </row>
    <row r="118" spans="1:21" ht="16.5" customHeight="1" x14ac:dyDescent="0.25">
      <c r="A118" s="132" t="s">
        <v>110</v>
      </c>
      <c r="B118" s="133"/>
      <c r="C118" s="133"/>
      <c r="D118" s="133"/>
      <c r="E118" s="133"/>
      <c r="F118" s="133"/>
      <c r="G118" s="133"/>
      <c r="H118" s="133"/>
      <c r="I118" s="134"/>
      <c r="J118" s="77">
        <f>J116+J117</f>
        <v>1319200000</v>
      </c>
      <c r="K118" s="77">
        <f t="shared" ref="K118:L118" si="54">K116+K117</f>
        <v>0</v>
      </c>
      <c r="L118" s="77">
        <f t="shared" si="54"/>
        <v>41941000</v>
      </c>
      <c r="M118" s="77">
        <f>M116+M117</f>
        <v>1277259000</v>
      </c>
      <c r="N118" s="77">
        <f>N116+N117</f>
        <v>0</v>
      </c>
      <c r="O118" s="77">
        <f>O116+O117</f>
        <v>1231947795</v>
      </c>
      <c r="P118" s="77">
        <f>P116+P117</f>
        <v>45311205</v>
      </c>
      <c r="Q118" s="77">
        <f>Q116+Q117</f>
        <v>1231947795</v>
      </c>
      <c r="R118" s="76">
        <f t="shared" si="47"/>
        <v>0.96452465396603193</v>
      </c>
      <c r="S118" s="77">
        <f>S116+S117</f>
        <v>1231947795</v>
      </c>
      <c r="T118" s="78">
        <f>T116+T117</f>
        <v>1231947795</v>
      </c>
    </row>
    <row r="119" spans="1:21" ht="16.5" customHeight="1" x14ac:dyDescent="0.25">
      <c r="A119" s="93" t="s">
        <v>3</v>
      </c>
      <c r="B119" s="84"/>
      <c r="C119" s="84"/>
      <c r="D119" s="84"/>
      <c r="E119" s="84"/>
      <c r="F119" s="84"/>
      <c r="G119" s="85" t="s">
        <v>4</v>
      </c>
      <c r="H119" s="84" t="s">
        <v>5</v>
      </c>
      <c r="I119" s="86">
        <v>10</v>
      </c>
      <c r="J119" s="72">
        <f t="shared" ref="J119:Q119" si="55">+J116+J89+J33+J105</f>
        <v>332071100000</v>
      </c>
      <c r="K119" s="72">
        <f t="shared" si="55"/>
        <v>32260941834.919998</v>
      </c>
      <c r="L119" s="72">
        <f t="shared" si="55"/>
        <v>28898882834.919998</v>
      </c>
      <c r="M119" s="72">
        <f t="shared" si="55"/>
        <v>335433159000</v>
      </c>
      <c r="N119" s="72">
        <f t="shared" si="55"/>
        <v>0</v>
      </c>
      <c r="O119" s="72">
        <f t="shared" si="55"/>
        <v>330398199368.71997</v>
      </c>
      <c r="P119" s="72">
        <f t="shared" si="55"/>
        <v>5034959631.2800007</v>
      </c>
      <c r="Q119" s="72">
        <f t="shared" si="55"/>
        <v>330398199368.71997</v>
      </c>
      <c r="R119" s="74">
        <f>IF(Q119&gt;1,Q119/(M119-N119),0)</f>
        <v>0.98498967828258144</v>
      </c>
      <c r="S119" s="72">
        <f>+S116+S89+S33+S105</f>
        <v>326176177371.15002</v>
      </c>
      <c r="T119" s="75">
        <f>+T116+T89+T33+T105</f>
        <v>318074594871.15002</v>
      </c>
    </row>
    <row r="120" spans="1:21" ht="16.5" customHeight="1" x14ac:dyDescent="0.25">
      <c r="A120" s="93" t="s">
        <v>3</v>
      </c>
      <c r="B120" s="84"/>
      <c r="C120" s="84"/>
      <c r="D120" s="84"/>
      <c r="E120" s="84"/>
      <c r="F120" s="84"/>
      <c r="G120" s="85" t="s">
        <v>4</v>
      </c>
      <c r="H120" s="84" t="s">
        <v>5</v>
      </c>
      <c r="I120" s="86">
        <v>11</v>
      </c>
      <c r="J120" s="72">
        <f>J117</f>
        <v>850000000</v>
      </c>
      <c r="K120" s="72">
        <f t="shared" ref="K120:L120" si="56">K117</f>
        <v>0</v>
      </c>
      <c r="L120" s="72">
        <f t="shared" si="56"/>
        <v>0</v>
      </c>
      <c r="M120" s="72">
        <f>M117</f>
        <v>850000000</v>
      </c>
      <c r="N120" s="72">
        <f>N117</f>
        <v>0</v>
      </c>
      <c r="O120" s="72">
        <f>O117</f>
        <v>804689094</v>
      </c>
      <c r="P120" s="72">
        <f>P117</f>
        <v>45310906</v>
      </c>
      <c r="Q120" s="72">
        <f>Q117</f>
        <v>804689094</v>
      </c>
      <c r="R120" s="74">
        <f t="shared" si="47"/>
        <v>0.94669305176470586</v>
      </c>
      <c r="S120" s="72">
        <f>S117</f>
        <v>804689094</v>
      </c>
      <c r="T120" s="75">
        <f>T117</f>
        <v>804689094</v>
      </c>
    </row>
    <row r="121" spans="1:21" ht="16.5" customHeight="1" x14ac:dyDescent="0.25">
      <c r="A121" s="93" t="s">
        <v>3</v>
      </c>
      <c r="B121" s="84"/>
      <c r="C121" s="84"/>
      <c r="D121" s="84"/>
      <c r="E121" s="84"/>
      <c r="F121" s="84"/>
      <c r="G121" s="85" t="s">
        <v>4</v>
      </c>
      <c r="H121" s="84" t="s">
        <v>8</v>
      </c>
      <c r="I121" s="86">
        <v>20</v>
      </c>
      <c r="J121" s="72">
        <f t="shared" ref="J121:L121" si="57">J90</f>
        <v>786000000</v>
      </c>
      <c r="K121" s="72">
        <f t="shared" si="57"/>
        <v>0</v>
      </c>
      <c r="L121" s="72">
        <f t="shared" si="57"/>
        <v>0</v>
      </c>
      <c r="M121" s="72">
        <f t="shared" ref="M121:Q122" si="58">M90</f>
        <v>786000000</v>
      </c>
      <c r="N121" s="72">
        <f t="shared" si="58"/>
        <v>0</v>
      </c>
      <c r="O121" s="72">
        <f t="shared" si="58"/>
        <v>786000000</v>
      </c>
      <c r="P121" s="72">
        <f t="shared" si="58"/>
        <v>0</v>
      </c>
      <c r="Q121" s="72">
        <f t="shared" si="58"/>
        <v>786000000</v>
      </c>
      <c r="R121" s="74">
        <f t="shared" si="47"/>
        <v>1</v>
      </c>
      <c r="S121" s="72">
        <f>S90</f>
        <v>786000000</v>
      </c>
      <c r="T121" s="75">
        <f>T90</f>
        <v>786000000</v>
      </c>
    </row>
    <row r="122" spans="1:21" s="5" customFormat="1" ht="15" customHeight="1" x14ac:dyDescent="0.2">
      <c r="A122" s="93" t="s">
        <v>3</v>
      </c>
      <c r="B122" s="84"/>
      <c r="C122" s="84"/>
      <c r="D122" s="84"/>
      <c r="E122" s="84"/>
      <c r="F122" s="84"/>
      <c r="G122" s="85" t="s">
        <v>4</v>
      </c>
      <c r="H122" s="84" t="s">
        <v>8</v>
      </c>
      <c r="I122" s="86">
        <v>21</v>
      </c>
      <c r="J122" s="72">
        <f t="shared" ref="J122:L122" si="59">J91</f>
        <v>391600000</v>
      </c>
      <c r="K122" s="72">
        <f t="shared" si="59"/>
        <v>0</v>
      </c>
      <c r="L122" s="72">
        <f t="shared" si="59"/>
        <v>0</v>
      </c>
      <c r="M122" s="72">
        <f t="shared" si="58"/>
        <v>391600000</v>
      </c>
      <c r="N122" s="72">
        <f t="shared" si="58"/>
        <v>0</v>
      </c>
      <c r="O122" s="72">
        <f t="shared" si="58"/>
        <v>391600000</v>
      </c>
      <c r="P122" s="72">
        <f t="shared" si="58"/>
        <v>0</v>
      </c>
      <c r="Q122" s="72">
        <f t="shared" si="58"/>
        <v>391600000</v>
      </c>
      <c r="R122" s="74">
        <f t="shared" si="47"/>
        <v>1</v>
      </c>
      <c r="S122" s="72">
        <f>S91</f>
        <v>391600000</v>
      </c>
      <c r="T122" s="75">
        <f>T91</f>
        <v>391600000</v>
      </c>
      <c r="U122" s="46"/>
    </row>
    <row r="123" spans="1:21" ht="15.75" customHeight="1" thickBot="1" x14ac:dyDescent="0.3">
      <c r="A123" s="135" t="s">
        <v>28</v>
      </c>
      <c r="B123" s="136"/>
      <c r="C123" s="136"/>
      <c r="D123" s="136"/>
      <c r="E123" s="136"/>
      <c r="F123" s="136"/>
      <c r="G123" s="136"/>
      <c r="H123" s="136"/>
      <c r="I123" s="137"/>
      <c r="J123" s="41">
        <f>SUM(J119:J122)</f>
        <v>334098700000</v>
      </c>
      <c r="K123" s="41">
        <f t="shared" ref="K123:L123" si="60">SUM(K119:K122)</f>
        <v>32260941834.919998</v>
      </c>
      <c r="L123" s="41">
        <f t="shared" si="60"/>
        <v>28898882834.919998</v>
      </c>
      <c r="M123" s="41">
        <f>SUM(M119:M122)</f>
        <v>337460759000</v>
      </c>
      <c r="N123" s="41">
        <f>SUM(N119:N122)</f>
        <v>0</v>
      </c>
      <c r="O123" s="41">
        <f>SUM(O119:O122)</f>
        <v>332380488462.71997</v>
      </c>
      <c r="P123" s="41">
        <f>SUM(P119:P122)</f>
        <v>5080270537.2800007</v>
      </c>
      <c r="Q123" s="41">
        <f>SUM(Q119:Q122)</f>
        <v>332380488462.71997</v>
      </c>
      <c r="R123" s="43">
        <f>IF(Q123&gt;1,Q123/(M123-N123),0)</f>
        <v>0.98494559618625155</v>
      </c>
      <c r="S123" s="41">
        <f>SUM(S119:S122)</f>
        <v>328158466465.15002</v>
      </c>
      <c r="T123" s="52">
        <f>SUM(T119:T122)</f>
        <v>320056883965.15002</v>
      </c>
    </row>
    <row r="124" spans="1:21" s="6" customFormat="1" ht="18.75" customHeight="1" thickBot="1" x14ac:dyDescent="0.3">
      <c r="A124" s="126" t="s">
        <v>31</v>
      </c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8"/>
    </row>
    <row r="125" spans="1:21" s="6" customFormat="1" ht="24.75" customHeight="1" x14ac:dyDescent="0.25">
      <c r="A125" s="90" t="s">
        <v>18</v>
      </c>
      <c r="B125" s="11">
        <v>2901</v>
      </c>
      <c r="C125" s="11"/>
      <c r="D125" s="11"/>
      <c r="E125" s="11"/>
      <c r="F125" s="11"/>
      <c r="G125" s="12" t="s">
        <v>103</v>
      </c>
      <c r="H125" s="11" t="s">
        <v>5</v>
      </c>
      <c r="I125" s="13">
        <v>10</v>
      </c>
      <c r="J125" s="24">
        <f>J129+J131+J133+J137+J143+J153+J157</f>
        <v>45330000000</v>
      </c>
      <c r="K125" s="24">
        <f t="shared" ref="K125:N125" si="61">K130+K132+K134+K135+K136+K140+K144++K145+K146+K154+K155+K156+K158+K159+K160+K161</f>
        <v>762962130</v>
      </c>
      <c r="L125" s="24">
        <f t="shared" si="61"/>
        <v>7789858949</v>
      </c>
      <c r="M125" s="24">
        <f>M129+M131+M133+M137+M143+M153+M157</f>
        <v>38303103181</v>
      </c>
      <c r="N125" s="14">
        <f t="shared" si="61"/>
        <v>0</v>
      </c>
      <c r="O125" s="88">
        <f>O129+O131+O133+O137+O143+O153+O157</f>
        <v>38084744446.150002</v>
      </c>
      <c r="P125" s="24">
        <f>P129+P131+P133+P137+P143+P153+P157</f>
        <v>218358734.85000041</v>
      </c>
      <c r="Q125" s="14">
        <f>Q129+Q131+Q133+Q137+Q143+Q153+Q157</f>
        <v>38084744446.150002</v>
      </c>
      <c r="R125" s="26">
        <f>IF(Q125&gt;1,Q125/(M125-N125),0)</f>
        <v>0.99429918944639673</v>
      </c>
      <c r="S125" s="14">
        <f>S129+S131+S133+S137+S143+S153+S157</f>
        <v>12013918916.319998</v>
      </c>
      <c r="T125" s="22">
        <f>T129+T131+T133+T137+T143+T153+T157</f>
        <v>12013918916.319998</v>
      </c>
    </row>
    <row r="126" spans="1:21" s="6" customFormat="1" ht="24.75" customHeight="1" x14ac:dyDescent="0.25">
      <c r="A126" s="90" t="s">
        <v>18</v>
      </c>
      <c r="B126" s="11">
        <v>2901</v>
      </c>
      <c r="C126" s="11"/>
      <c r="D126" s="11"/>
      <c r="E126" s="11"/>
      <c r="F126" s="11"/>
      <c r="G126" s="12" t="s">
        <v>103</v>
      </c>
      <c r="H126" s="11" t="s">
        <v>8</v>
      </c>
      <c r="I126" s="11">
        <v>11</v>
      </c>
      <c r="J126" s="24">
        <f>J147</f>
        <v>9015000000</v>
      </c>
      <c r="K126" s="24">
        <f t="shared" ref="K126:Q126" si="62">K147</f>
        <v>0</v>
      </c>
      <c r="L126" s="24">
        <f t="shared" si="62"/>
        <v>170206055</v>
      </c>
      <c r="M126" s="24">
        <f>M147</f>
        <v>8844793945</v>
      </c>
      <c r="N126" s="14">
        <f t="shared" si="62"/>
        <v>0</v>
      </c>
      <c r="O126" s="88">
        <f t="shared" si="62"/>
        <v>8841097116.8400002</v>
      </c>
      <c r="P126" s="24">
        <f>P147</f>
        <v>3696828.1599998474</v>
      </c>
      <c r="Q126" s="14">
        <f t="shared" si="62"/>
        <v>8841097116.8400002</v>
      </c>
      <c r="R126" s="26">
        <f t="shared" ref="R126:R188" si="63">IF(Q126&gt;1,Q126/(M126-N126),0)</f>
        <v>0.99958203343311469</v>
      </c>
      <c r="S126" s="14">
        <f t="shared" ref="S126:T126" si="64">S147</f>
        <v>2116386881.51</v>
      </c>
      <c r="T126" s="22">
        <f t="shared" si="64"/>
        <v>2116386881.51</v>
      </c>
    </row>
    <row r="127" spans="1:21" s="6" customFormat="1" ht="24.75" customHeight="1" x14ac:dyDescent="0.25">
      <c r="A127" s="90" t="s">
        <v>18</v>
      </c>
      <c r="B127" s="11">
        <v>2901</v>
      </c>
      <c r="C127" s="11"/>
      <c r="D127" s="11"/>
      <c r="E127" s="11"/>
      <c r="F127" s="11"/>
      <c r="G127" s="12" t="s">
        <v>103</v>
      </c>
      <c r="H127" s="11" t="s">
        <v>8</v>
      </c>
      <c r="I127" s="13">
        <v>20</v>
      </c>
      <c r="J127" s="14">
        <f>J138</f>
        <v>4000000000</v>
      </c>
      <c r="K127" s="14">
        <f t="shared" ref="K127:Q127" si="65">K138</f>
        <v>0</v>
      </c>
      <c r="L127" s="24">
        <f t="shared" si="65"/>
        <v>0</v>
      </c>
      <c r="M127" s="24">
        <f>M138</f>
        <v>4000000000</v>
      </c>
      <c r="N127" s="14">
        <f t="shared" si="65"/>
        <v>0</v>
      </c>
      <c r="O127" s="14">
        <f t="shared" si="65"/>
        <v>0</v>
      </c>
      <c r="P127" s="24">
        <f>P138</f>
        <v>4000000000</v>
      </c>
      <c r="Q127" s="14">
        <f t="shared" si="65"/>
        <v>0</v>
      </c>
      <c r="R127" s="26">
        <f t="shared" si="63"/>
        <v>0</v>
      </c>
      <c r="S127" s="24">
        <f t="shared" ref="S127:T127" si="66">S138</f>
        <v>0</v>
      </c>
      <c r="T127" s="22">
        <f t="shared" si="66"/>
        <v>0</v>
      </c>
    </row>
    <row r="128" spans="1:21" ht="33" customHeight="1" x14ac:dyDescent="0.25">
      <c r="A128" s="90" t="s">
        <v>18</v>
      </c>
      <c r="B128" s="11">
        <v>2901</v>
      </c>
      <c r="C128" s="11"/>
      <c r="D128" s="11"/>
      <c r="E128" s="11"/>
      <c r="F128" s="11"/>
      <c r="G128" s="12" t="s">
        <v>103</v>
      </c>
      <c r="H128" s="11" t="s">
        <v>8</v>
      </c>
      <c r="I128" s="13">
        <v>21</v>
      </c>
      <c r="J128" s="14">
        <f>J139+J148</f>
        <v>2908160000</v>
      </c>
      <c r="K128" s="14">
        <f t="shared" ref="K128:Q128" si="67">K142+K151+K152</f>
        <v>49560000</v>
      </c>
      <c r="L128" s="24">
        <f t="shared" si="67"/>
        <v>49560000</v>
      </c>
      <c r="M128" s="24">
        <f>M142+M151+M152</f>
        <v>2908160000</v>
      </c>
      <c r="N128" s="14">
        <f t="shared" si="67"/>
        <v>0</v>
      </c>
      <c r="O128" s="14">
        <f t="shared" si="67"/>
        <v>2900413694.0999999</v>
      </c>
      <c r="P128" s="24">
        <f t="shared" si="67"/>
        <v>7746305.9000000954</v>
      </c>
      <c r="Q128" s="14">
        <f t="shared" si="67"/>
        <v>2900413694.0999999</v>
      </c>
      <c r="R128" s="26">
        <f t="shared" si="63"/>
        <v>0.99733635498046869</v>
      </c>
      <c r="S128" s="14">
        <f>S142+S151+S152</f>
        <v>2512827076.23</v>
      </c>
      <c r="T128" s="22">
        <f>T142+T151+T152</f>
        <v>2512827076.23</v>
      </c>
    </row>
    <row r="129" spans="1:20" ht="33" customHeight="1" x14ac:dyDescent="0.25">
      <c r="A129" s="95" t="s">
        <v>18</v>
      </c>
      <c r="B129" s="99" t="s">
        <v>90</v>
      </c>
      <c r="C129" s="99" t="s">
        <v>91</v>
      </c>
      <c r="D129" s="99" t="s">
        <v>92</v>
      </c>
      <c r="E129" s="11"/>
      <c r="F129" s="11"/>
      <c r="G129" s="12" t="s">
        <v>218</v>
      </c>
      <c r="H129" s="99" t="s">
        <v>5</v>
      </c>
      <c r="I129" s="100">
        <v>10</v>
      </c>
      <c r="J129" s="14">
        <f>J130</f>
        <v>10500000000</v>
      </c>
      <c r="K129" s="14">
        <f t="shared" ref="K129:N129" si="68">K130</f>
        <v>0</v>
      </c>
      <c r="L129" s="24">
        <f t="shared" si="68"/>
        <v>137038185</v>
      </c>
      <c r="M129" s="24">
        <f>M130</f>
        <v>10362961815</v>
      </c>
      <c r="N129" s="14">
        <f t="shared" si="68"/>
        <v>0</v>
      </c>
      <c r="O129" s="14">
        <f>O130</f>
        <v>10252541549.4</v>
      </c>
      <c r="P129" s="24">
        <f>P130</f>
        <v>110420265.60000038</v>
      </c>
      <c r="Q129" s="14">
        <f>Q130</f>
        <v>10252541549.4</v>
      </c>
      <c r="R129" s="26">
        <f t="shared" si="63"/>
        <v>0.98934471943723934</v>
      </c>
      <c r="S129" s="14">
        <f>S130</f>
        <v>1747387043.1199999</v>
      </c>
      <c r="T129" s="22">
        <f>T130</f>
        <v>1747387043.1199999</v>
      </c>
    </row>
    <row r="130" spans="1:20" ht="50.25" customHeight="1" x14ac:dyDescent="0.25">
      <c r="A130" s="94" t="s">
        <v>18</v>
      </c>
      <c r="B130" s="56" t="s">
        <v>90</v>
      </c>
      <c r="C130" s="56" t="s">
        <v>91</v>
      </c>
      <c r="D130" s="56" t="s">
        <v>92</v>
      </c>
      <c r="E130" s="56" t="s">
        <v>152</v>
      </c>
      <c r="F130" s="56" t="s">
        <v>164</v>
      </c>
      <c r="G130" s="23" t="s">
        <v>185</v>
      </c>
      <c r="H130" s="56" t="s">
        <v>5</v>
      </c>
      <c r="I130" s="57">
        <v>10</v>
      </c>
      <c r="J130" s="44">
        <v>10500000000</v>
      </c>
      <c r="K130" s="44">
        <v>0</v>
      </c>
      <c r="L130" s="44">
        <v>137038185</v>
      </c>
      <c r="M130" s="44">
        <f>J130+K130-L130</f>
        <v>10362961815</v>
      </c>
      <c r="N130" s="44">
        <v>0</v>
      </c>
      <c r="O130" s="44">
        <v>10252541549.4</v>
      </c>
      <c r="P130" s="44">
        <f t="shared" ref="P130:P158" si="69">+M130-O130-N130</f>
        <v>110420265.60000038</v>
      </c>
      <c r="Q130" s="58">
        <v>10252541549.4</v>
      </c>
      <c r="R130" s="25">
        <f t="shared" si="63"/>
        <v>0.98934471943723934</v>
      </c>
      <c r="S130" s="58">
        <v>1747387043.1199999</v>
      </c>
      <c r="T130" s="59">
        <v>1747387043.1199999</v>
      </c>
    </row>
    <row r="131" spans="1:20" ht="50.25" customHeight="1" x14ac:dyDescent="0.25">
      <c r="A131" s="95" t="s">
        <v>18</v>
      </c>
      <c r="B131" s="99" t="s">
        <v>90</v>
      </c>
      <c r="C131" s="99" t="s">
        <v>91</v>
      </c>
      <c r="D131" s="99" t="s">
        <v>6</v>
      </c>
      <c r="E131" s="99"/>
      <c r="F131" s="99"/>
      <c r="G131" s="12" t="s">
        <v>219</v>
      </c>
      <c r="H131" s="99" t="s">
        <v>5</v>
      </c>
      <c r="I131" s="100">
        <v>10</v>
      </c>
      <c r="J131" s="48">
        <f>J132</f>
        <v>100000000</v>
      </c>
      <c r="K131" s="48">
        <f t="shared" ref="K131:L131" si="70">K132</f>
        <v>0</v>
      </c>
      <c r="L131" s="48">
        <f t="shared" si="70"/>
        <v>30652901</v>
      </c>
      <c r="M131" s="48">
        <f>M132</f>
        <v>69347099</v>
      </c>
      <c r="N131" s="48">
        <f t="shared" ref="N131:T131" si="71">N132</f>
        <v>0</v>
      </c>
      <c r="O131" s="48">
        <f t="shared" si="71"/>
        <v>58160524.799999997</v>
      </c>
      <c r="P131" s="48">
        <f>P132</f>
        <v>11186574.200000003</v>
      </c>
      <c r="Q131" s="101">
        <f t="shared" si="71"/>
        <v>58160524.799999997</v>
      </c>
      <c r="R131" s="26">
        <f t="shared" si="63"/>
        <v>0.83868720737690838</v>
      </c>
      <c r="S131" s="101">
        <f t="shared" si="71"/>
        <v>57653793</v>
      </c>
      <c r="T131" s="102">
        <f t="shared" si="71"/>
        <v>57653793</v>
      </c>
    </row>
    <row r="132" spans="1:20" ht="46.5" customHeight="1" x14ac:dyDescent="0.25">
      <c r="A132" s="94" t="s">
        <v>18</v>
      </c>
      <c r="B132" s="56" t="s">
        <v>90</v>
      </c>
      <c r="C132" s="56" t="s">
        <v>91</v>
      </c>
      <c r="D132" s="56" t="s">
        <v>6</v>
      </c>
      <c r="E132" s="56" t="s">
        <v>152</v>
      </c>
      <c r="F132" s="56" t="s">
        <v>165</v>
      </c>
      <c r="G132" s="23" t="s">
        <v>186</v>
      </c>
      <c r="H132" s="56" t="s">
        <v>5</v>
      </c>
      <c r="I132" s="57">
        <v>10</v>
      </c>
      <c r="J132" s="58">
        <v>100000000</v>
      </c>
      <c r="K132" s="44">
        <v>0</v>
      </c>
      <c r="L132" s="44">
        <f>172994+30479907</f>
        <v>30652901</v>
      </c>
      <c r="M132" s="44">
        <f t="shared" ref="M132:M161" si="72">J132+K132-L132</f>
        <v>69347099</v>
      </c>
      <c r="N132" s="115">
        <v>0</v>
      </c>
      <c r="O132" s="44">
        <v>58160524.799999997</v>
      </c>
      <c r="P132" s="44">
        <f t="shared" si="69"/>
        <v>11186574.200000003</v>
      </c>
      <c r="Q132" s="58">
        <v>58160524.799999997</v>
      </c>
      <c r="R132" s="25">
        <f t="shared" si="63"/>
        <v>0.83868720737690838</v>
      </c>
      <c r="S132" s="58">
        <v>57653793</v>
      </c>
      <c r="T132" s="59">
        <v>57653793</v>
      </c>
    </row>
    <row r="133" spans="1:20" s="103" customFormat="1" ht="51.75" customHeight="1" x14ac:dyDescent="0.25">
      <c r="A133" s="95" t="s">
        <v>18</v>
      </c>
      <c r="B133" s="99" t="s">
        <v>90</v>
      </c>
      <c r="C133" s="99" t="s">
        <v>91</v>
      </c>
      <c r="D133" s="99" t="s">
        <v>7</v>
      </c>
      <c r="E133" s="99"/>
      <c r="F133" s="99"/>
      <c r="G133" s="12" t="s">
        <v>239</v>
      </c>
      <c r="H133" s="99" t="s">
        <v>5</v>
      </c>
      <c r="I133" s="100">
        <v>10</v>
      </c>
      <c r="J133" s="101">
        <f>J134+J135+J136</f>
        <v>4570000000</v>
      </c>
      <c r="K133" s="48">
        <f t="shared" ref="K133:T133" si="73">K134+K135+K136</f>
        <v>32529000</v>
      </c>
      <c r="L133" s="48">
        <f t="shared" si="73"/>
        <v>32529000</v>
      </c>
      <c r="M133" s="48">
        <f t="shared" si="73"/>
        <v>4570000000</v>
      </c>
      <c r="N133" s="48">
        <f t="shared" si="73"/>
        <v>0</v>
      </c>
      <c r="O133" s="48">
        <f t="shared" si="73"/>
        <v>4567058433.96</v>
      </c>
      <c r="P133" s="48">
        <f>P134+P135+P136</f>
        <v>2941566.0399999619</v>
      </c>
      <c r="Q133" s="48">
        <f t="shared" si="73"/>
        <v>4567058433.96</v>
      </c>
      <c r="R133" s="26">
        <f t="shared" si="63"/>
        <v>0.99935633128227574</v>
      </c>
      <c r="S133" s="101">
        <f t="shared" si="73"/>
        <v>2622067077.8499999</v>
      </c>
      <c r="T133" s="102">
        <f t="shared" si="73"/>
        <v>2622067077.8499999</v>
      </c>
    </row>
    <row r="134" spans="1:20" ht="65.25" customHeight="1" x14ac:dyDescent="0.25">
      <c r="A134" s="94" t="s">
        <v>18</v>
      </c>
      <c r="B134" s="56" t="s">
        <v>90</v>
      </c>
      <c r="C134" s="56" t="s">
        <v>91</v>
      </c>
      <c r="D134" s="56" t="s">
        <v>7</v>
      </c>
      <c r="E134" s="56" t="s">
        <v>153</v>
      </c>
      <c r="F134" s="56" t="s">
        <v>166</v>
      </c>
      <c r="G134" s="23" t="s">
        <v>187</v>
      </c>
      <c r="H134" s="56" t="s">
        <v>5</v>
      </c>
      <c r="I134" s="57">
        <v>10</v>
      </c>
      <c r="J134" s="44">
        <v>1370000000</v>
      </c>
      <c r="K134" s="44">
        <v>0</v>
      </c>
      <c r="L134" s="44">
        <v>32529000</v>
      </c>
      <c r="M134" s="44">
        <f t="shared" si="72"/>
        <v>1337471000</v>
      </c>
      <c r="N134" s="44">
        <v>0</v>
      </c>
      <c r="O134" s="44">
        <v>1337460991.55</v>
      </c>
      <c r="P134" s="44">
        <f t="shared" si="69"/>
        <v>10008.450000047684</v>
      </c>
      <c r="Q134" s="58">
        <v>1337460991.55</v>
      </c>
      <c r="R134" s="25">
        <f t="shared" si="63"/>
        <v>0.99999251688447821</v>
      </c>
      <c r="S134" s="58">
        <v>906550913.85000002</v>
      </c>
      <c r="T134" s="59">
        <v>906550913.85000002</v>
      </c>
    </row>
    <row r="135" spans="1:20" ht="76.5" customHeight="1" x14ac:dyDescent="0.25">
      <c r="A135" s="94" t="s">
        <v>18</v>
      </c>
      <c r="B135" s="56" t="s">
        <v>90</v>
      </c>
      <c r="C135" s="56" t="s">
        <v>91</v>
      </c>
      <c r="D135" s="56" t="s">
        <v>7</v>
      </c>
      <c r="E135" s="56" t="s">
        <v>153</v>
      </c>
      <c r="F135" s="56" t="s">
        <v>167</v>
      </c>
      <c r="G135" s="23" t="s">
        <v>188</v>
      </c>
      <c r="H135" s="56" t="s">
        <v>5</v>
      </c>
      <c r="I135" s="57">
        <v>10</v>
      </c>
      <c r="J135" s="44">
        <v>2050000000</v>
      </c>
      <c r="K135" s="44">
        <v>32529000</v>
      </c>
      <c r="L135" s="44">
        <v>0</v>
      </c>
      <c r="M135" s="44">
        <f t="shared" si="72"/>
        <v>2082529000</v>
      </c>
      <c r="N135" s="44">
        <v>0</v>
      </c>
      <c r="O135" s="44">
        <v>2081669400</v>
      </c>
      <c r="P135" s="44">
        <f t="shared" ref="P135:P136" si="74">+M135-O135-N135</f>
        <v>859600</v>
      </c>
      <c r="Q135" s="58">
        <v>2081669400</v>
      </c>
      <c r="R135" s="25">
        <f t="shared" si="63"/>
        <v>0.99958723263877713</v>
      </c>
      <c r="S135" s="58">
        <v>1675013950</v>
      </c>
      <c r="T135" s="59">
        <v>1675013950</v>
      </c>
    </row>
    <row r="136" spans="1:20" ht="63.75" customHeight="1" x14ac:dyDescent="0.25">
      <c r="A136" s="94" t="s">
        <v>18</v>
      </c>
      <c r="B136" s="56" t="s">
        <v>90</v>
      </c>
      <c r="C136" s="56" t="s">
        <v>91</v>
      </c>
      <c r="D136" s="56" t="s">
        <v>7</v>
      </c>
      <c r="E136" s="56" t="s">
        <v>153</v>
      </c>
      <c r="F136" s="56" t="s">
        <v>168</v>
      </c>
      <c r="G136" s="23" t="s">
        <v>189</v>
      </c>
      <c r="H136" s="56" t="s">
        <v>5</v>
      </c>
      <c r="I136" s="57">
        <v>10</v>
      </c>
      <c r="J136" s="44">
        <v>1150000000</v>
      </c>
      <c r="K136" s="44">
        <v>0</v>
      </c>
      <c r="L136" s="44">
        <v>0</v>
      </c>
      <c r="M136" s="44">
        <f t="shared" si="72"/>
        <v>1150000000</v>
      </c>
      <c r="N136" s="44">
        <v>0</v>
      </c>
      <c r="O136" s="44">
        <v>1147928042.4100001</v>
      </c>
      <c r="P136" s="44">
        <f t="shared" si="74"/>
        <v>2071957.5899999142</v>
      </c>
      <c r="Q136" s="58">
        <v>1147928042.4100001</v>
      </c>
      <c r="R136" s="25">
        <f t="shared" si="63"/>
        <v>0.9981982977478262</v>
      </c>
      <c r="S136" s="58">
        <v>40502214</v>
      </c>
      <c r="T136" s="59">
        <v>40502214</v>
      </c>
    </row>
    <row r="137" spans="1:20" ht="49.5" customHeight="1" x14ac:dyDescent="0.25">
      <c r="A137" s="95" t="s">
        <v>18</v>
      </c>
      <c r="B137" s="99" t="s">
        <v>90</v>
      </c>
      <c r="C137" s="99" t="s">
        <v>91</v>
      </c>
      <c r="D137" s="99" t="s">
        <v>93</v>
      </c>
      <c r="E137" s="99"/>
      <c r="F137" s="99"/>
      <c r="G137" s="12" t="s">
        <v>220</v>
      </c>
      <c r="H137" s="99" t="s">
        <v>5</v>
      </c>
      <c r="I137" s="100">
        <v>10</v>
      </c>
      <c r="J137" s="48">
        <f>J140</f>
        <v>4500000000</v>
      </c>
      <c r="K137" s="48">
        <f t="shared" ref="K137:T137" si="75">K140</f>
        <v>0</v>
      </c>
      <c r="L137" s="48">
        <f t="shared" si="75"/>
        <v>0</v>
      </c>
      <c r="M137" s="48">
        <f>M140</f>
        <v>4500000000</v>
      </c>
      <c r="N137" s="48">
        <f t="shared" si="75"/>
        <v>0</v>
      </c>
      <c r="O137" s="48">
        <f t="shared" si="75"/>
        <v>4499996000</v>
      </c>
      <c r="P137" s="48">
        <f>P140</f>
        <v>4000</v>
      </c>
      <c r="Q137" s="48">
        <f t="shared" si="75"/>
        <v>4499996000</v>
      </c>
      <c r="R137" s="26">
        <f t="shared" si="63"/>
        <v>0.99999911111111106</v>
      </c>
      <c r="S137" s="101">
        <f t="shared" si="75"/>
        <v>3318329306.6999998</v>
      </c>
      <c r="T137" s="102">
        <f t="shared" si="75"/>
        <v>3318329306.6999998</v>
      </c>
    </row>
    <row r="138" spans="1:20" ht="49.5" customHeight="1" x14ac:dyDescent="0.25">
      <c r="A138" s="95" t="s">
        <v>18</v>
      </c>
      <c r="B138" s="99" t="s">
        <v>90</v>
      </c>
      <c r="C138" s="99" t="s">
        <v>91</v>
      </c>
      <c r="D138" s="99" t="s">
        <v>93</v>
      </c>
      <c r="E138" s="99"/>
      <c r="F138" s="99"/>
      <c r="G138" s="12" t="s">
        <v>220</v>
      </c>
      <c r="H138" s="99" t="s">
        <v>8</v>
      </c>
      <c r="I138" s="100">
        <v>20</v>
      </c>
      <c r="J138" s="48">
        <f>J141</f>
        <v>4000000000</v>
      </c>
      <c r="K138" s="48">
        <f t="shared" ref="K138:T138" si="76">K141</f>
        <v>0</v>
      </c>
      <c r="L138" s="48">
        <v>0</v>
      </c>
      <c r="M138" s="48">
        <f>M141</f>
        <v>4000000000</v>
      </c>
      <c r="N138" s="48">
        <f t="shared" si="76"/>
        <v>0</v>
      </c>
      <c r="O138" s="48">
        <f t="shared" si="76"/>
        <v>0</v>
      </c>
      <c r="P138" s="48">
        <f>P141</f>
        <v>4000000000</v>
      </c>
      <c r="Q138" s="101">
        <f t="shared" si="76"/>
        <v>0</v>
      </c>
      <c r="R138" s="26">
        <f t="shared" si="63"/>
        <v>0</v>
      </c>
      <c r="S138" s="101">
        <f t="shared" si="76"/>
        <v>0</v>
      </c>
      <c r="T138" s="102">
        <f t="shared" si="76"/>
        <v>0</v>
      </c>
    </row>
    <row r="139" spans="1:20" ht="49.5" customHeight="1" x14ac:dyDescent="0.25">
      <c r="A139" s="95" t="s">
        <v>18</v>
      </c>
      <c r="B139" s="99" t="s">
        <v>90</v>
      </c>
      <c r="C139" s="99" t="s">
        <v>91</v>
      </c>
      <c r="D139" s="99" t="s">
        <v>93</v>
      </c>
      <c r="E139" s="99"/>
      <c r="F139" s="99"/>
      <c r="G139" s="12" t="s">
        <v>220</v>
      </c>
      <c r="H139" s="99" t="s">
        <v>8</v>
      </c>
      <c r="I139" s="100">
        <v>21</v>
      </c>
      <c r="J139" s="48">
        <f>J142</f>
        <v>24160000</v>
      </c>
      <c r="K139" s="48">
        <f t="shared" ref="K139:T139" si="77">K142</f>
        <v>0</v>
      </c>
      <c r="L139" s="48">
        <f t="shared" si="77"/>
        <v>0</v>
      </c>
      <c r="M139" s="48">
        <f t="shared" si="77"/>
        <v>24160000</v>
      </c>
      <c r="N139" s="48">
        <f t="shared" si="77"/>
        <v>0</v>
      </c>
      <c r="O139" s="48">
        <f t="shared" si="77"/>
        <v>24160000</v>
      </c>
      <c r="P139" s="48">
        <f>P142</f>
        <v>0</v>
      </c>
      <c r="Q139" s="101">
        <f t="shared" si="77"/>
        <v>24160000</v>
      </c>
      <c r="R139" s="26">
        <f t="shared" si="63"/>
        <v>1</v>
      </c>
      <c r="S139" s="101">
        <f t="shared" si="77"/>
        <v>24160000</v>
      </c>
      <c r="T139" s="102">
        <f t="shared" si="77"/>
        <v>24160000</v>
      </c>
    </row>
    <row r="140" spans="1:20" ht="33.75" customHeight="1" x14ac:dyDescent="0.25">
      <c r="A140" s="94" t="s">
        <v>18</v>
      </c>
      <c r="B140" s="56" t="s">
        <v>90</v>
      </c>
      <c r="C140" s="56" t="s">
        <v>91</v>
      </c>
      <c r="D140" s="56" t="s">
        <v>93</v>
      </c>
      <c r="E140" s="56" t="s">
        <v>152</v>
      </c>
      <c r="F140" s="56" t="s">
        <v>162</v>
      </c>
      <c r="G140" s="23" t="s">
        <v>190</v>
      </c>
      <c r="H140" s="56" t="s">
        <v>5</v>
      </c>
      <c r="I140" s="57">
        <v>10</v>
      </c>
      <c r="J140" s="58">
        <v>4500000000</v>
      </c>
      <c r="K140" s="58">
        <v>0</v>
      </c>
      <c r="L140" s="44">
        <v>0</v>
      </c>
      <c r="M140" s="44">
        <f t="shared" si="72"/>
        <v>4500000000</v>
      </c>
      <c r="N140" s="44">
        <v>0</v>
      </c>
      <c r="O140" s="44">
        <v>4499996000</v>
      </c>
      <c r="P140" s="44">
        <f t="shared" si="69"/>
        <v>4000</v>
      </c>
      <c r="Q140" s="58">
        <v>4499996000</v>
      </c>
      <c r="R140" s="25">
        <f t="shared" si="63"/>
        <v>0.99999911111111106</v>
      </c>
      <c r="S140" s="58">
        <v>3318329306.6999998</v>
      </c>
      <c r="T140" s="59">
        <v>3318329306.6999998</v>
      </c>
    </row>
    <row r="141" spans="1:20" ht="41.25" customHeight="1" x14ac:dyDescent="0.25">
      <c r="A141" s="94" t="s">
        <v>18</v>
      </c>
      <c r="B141" s="56" t="s">
        <v>90</v>
      </c>
      <c r="C141" s="56" t="s">
        <v>91</v>
      </c>
      <c r="D141" s="56" t="s">
        <v>93</v>
      </c>
      <c r="E141" s="56" t="s">
        <v>152</v>
      </c>
      <c r="F141" s="56" t="s">
        <v>163</v>
      </c>
      <c r="G141" s="23" t="s">
        <v>191</v>
      </c>
      <c r="H141" s="56" t="s">
        <v>8</v>
      </c>
      <c r="I141" s="57">
        <v>20</v>
      </c>
      <c r="J141" s="58">
        <v>4000000000</v>
      </c>
      <c r="K141" s="58">
        <v>0</v>
      </c>
      <c r="L141" s="44">
        <v>0</v>
      </c>
      <c r="M141" s="44">
        <f t="shared" si="72"/>
        <v>4000000000</v>
      </c>
      <c r="N141" s="44">
        <v>0</v>
      </c>
      <c r="O141" s="44">
        <v>0</v>
      </c>
      <c r="P141" s="44">
        <f t="shared" si="69"/>
        <v>4000000000</v>
      </c>
      <c r="Q141" s="58">
        <v>0</v>
      </c>
      <c r="R141" s="25">
        <f t="shared" si="63"/>
        <v>0</v>
      </c>
      <c r="S141" s="58">
        <v>0</v>
      </c>
      <c r="T141" s="59">
        <v>0</v>
      </c>
    </row>
    <row r="142" spans="1:20" ht="41.25" customHeight="1" x14ac:dyDescent="0.25">
      <c r="A142" s="94" t="s">
        <v>18</v>
      </c>
      <c r="B142" s="56" t="s">
        <v>90</v>
      </c>
      <c r="C142" s="56" t="s">
        <v>91</v>
      </c>
      <c r="D142" s="56" t="s">
        <v>93</v>
      </c>
      <c r="E142" s="56" t="s">
        <v>152</v>
      </c>
      <c r="F142" s="56" t="s">
        <v>163</v>
      </c>
      <c r="G142" s="23" t="s">
        <v>191</v>
      </c>
      <c r="H142" s="56" t="s">
        <v>8</v>
      </c>
      <c r="I142" s="57">
        <v>21</v>
      </c>
      <c r="J142" s="58">
        <v>24160000</v>
      </c>
      <c r="K142" s="58">
        <v>0</v>
      </c>
      <c r="L142" s="44">
        <v>0</v>
      </c>
      <c r="M142" s="44">
        <f t="shared" si="72"/>
        <v>24160000</v>
      </c>
      <c r="N142" s="44">
        <v>0</v>
      </c>
      <c r="O142" s="44">
        <v>24160000</v>
      </c>
      <c r="P142" s="44">
        <f t="shared" si="69"/>
        <v>0</v>
      </c>
      <c r="Q142" s="58">
        <v>24160000</v>
      </c>
      <c r="R142" s="25">
        <f t="shared" si="63"/>
        <v>1</v>
      </c>
      <c r="S142" s="58">
        <v>24160000</v>
      </c>
      <c r="T142" s="59">
        <v>24160000</v>
      </c>
    </row>
    <row r="143" spans="1:20" ht="51.75" customHeight="1" x14ac:dyDescent="0.25">
      <c r="A143" s="95" t="s">
        <v>18</v>
      </c>
      <c r="B143" s="99" t="s">
        <v>90</v>
      </c>
      <c r="C143" s="99" t="s">
        <v>91</v>
      </c>
      <c r="D143" s="99" t="s">
        <v>94</v>
      </c>
      <c r="E143" s="99"/>
      <c r="F143" s="99"/>
      <c r="G143" s="12" t="s">
        <v>221</v>
      </c>
      <c r="H143" s="99" t="s">
        <v>5</v>
      </c>
      <c r="I143" s="100">
        <v>10</v>
      </c>
      <c r="J143" s="101">
        <f>J144+J145+J146</f>
        <v>4360000000</v>
      </c>
      <c r="K143" s="101">
        <f>K144+K145+K146</f>
        <v>680433130</v>
      </c>
      <c r="L143" s="48">
        <f>L144+L145+L146</f>
        <v>680433130</v>
      </c>
      <c r="M143" s="48">
        <f t="shared" ref="M143:T143" si="78">M144+M145+M146</f>
        <v>4360000000</v>
      </c>
      <c r="N143" s="48">
        <f t="shared" si="78"/>
        <v>0</v>
      </c>
      <c r="O143" s="48">
        <f t="shared" si="78"/>
        <v>4358089000</v>
      </c>
      <c r="P143" s="48">
        <f>P144+P145+P146</f>
        <v>1911000</v>
      </c>
      <c r="Q143" s="101">
        <f t="shared" si="78"/>
        <v>4358089000</v>
      </c>
      <c r="R143" s="26">
        <f t="shared" si="63"/>
        <v>0.99956169724770638</v>
      </c>
      <c r="S143" s="101">
        <f t="shared" si="78"/>
        <v>2402477264.25</v>
      </c>
      <c r="T143" s="102">
        <f t="shared" si="78"/>
        <v>2402477264.25</v>
      </c>
    </row>
    <row r="144" spans="1:20" ht="58.5" customHeight="1" x14ac:dyDescent="0.25">
      <c r="A144" s="94" t="s">
        <v>18</v>
      </c>
      <c r="B144" s="56" t="s">
        <v>90</v>
      </c>
      <c r="C144" s="56" t="s">
        <v>91</v>
      </c>
      <c r="D144" s="56" t="s">
        <v>94</v>
      </c>
      <c r="E144" s="56" t="s">
        <v>154</v>
      </c>
      <c r="F144" s="56" t="s">
        <v>169</v>
      </c>
      <c r="G144" s="23" t="s">
        <v>192</v>
      </c>
      <c r="H144" s="56" t="s">
        <v>5</v>
      </c>
      <c r="I144" s="57">
        <v>10</v>
      </c>
      <c r="J144" s="44">
        <v>2280000000</v>
      </c>
      <c r="K144" s="44">
        <v>680433130</v>
      </c>
      <c r="L144" s="44">
        <v>0</v>
      </c>
      <c r="M144" s="44">
        <f t="shared" si="72"/>
        <v>2960433130</v>
      </c>
      <c r="N144" s="44">
        <v>0</v>
      </c>
      <c r="O144" s="44">
        <v>2958522130</v>
      </c>
      <c r="P144" s="44">
        <f t="shared" si="69"/>
        <v>1911000</v>
      </c>
      <c r="Q144" s="58">
        <v>2958522130</v>
      </c>
      <c r="R144" s="25">
        <f t="shared" si="63"/>
        <v>0.99935448634842161</v>
      </c>
      <c r="S144" s="58">
        <v>1102772412</v>
      </c>
      <c r="T144" s="59">
        <v>1102772412</v>
      </c>
    </row>
    <row r="145" spans="1:20" ht="57.75" customHeight="1" x14ac:dyDescent="0.25">
      <c r="A145" s="94" t="s">
        <v>18</v>
      </c>
      <c r="B145" s="56" t="s">
        <v>90</v>
      </c>
      <c r="C145" s="56" t="s">
        <v>91</v>
      </c>
      <c r="D145" s="56" t="s">
        <v>94</v>
      </c>
      <c r="E145" s="56" t="s">
        <v>154</v>
      </c>
      <c r="F145" s="56" t="s">
        <v>170</v>
      </c>
      <c r="G145" s="23" t="s">
        <v>193</v>
      </c>
      <c r="H145" s="56" t="s">
        <v>5</v>
      </c>
      <c r="I145" s="57">
        <v>10</v>
      </c>
      <c r="J145" s="44">
        <v>1500000000</v>
      </c>
      <c r="K145" s="44">
        <v>0</v>
      </c>
      <c r="L145" s="44">
        <v>100433130</v>
      </c>
      <c r="M145" s="44">
        <f t="shared" si="72"/>
        <v>1399566870</v>
      </c>
      <c r="N145" s="44">
        <v>0</v>
      </c>
      <c r="O145" s="44">
        <v>1399566870</v>
      </c>
      <c r="P145" s="44">
        <f t="shared" ref="P145:P146" si="79">+M145-O145-N145</f>
        <v>0</v>
      </c>
      <c r="Q145" s="58">
        <v>1399566870</v>
      </c>
      <c r="R145" s="25">
        <f t="shared" si="63"/>
        <v>1</v>
      </c>
      <c r="S145" s="58">
        <v>1299704852.25</v>
      </c>
      <c r="T145" s="59">
        <v>1299704852.25</v>
      </c>
    </row>
    <row r="146" spans="1:20" ht="48" customHeight="1" x14ac:dyDescent="0.25">
      <c r="A146" s="94" t="s">
        <v>18</v>
      </c>
      <c r="B146" s="56" t="s">
        <v>90</v>
      </c>
      <c r="C146" s="56" t="s">
        <v>91</v>
      </c>
      <c r="D146" s="56" t="s">
        <v>94</v>
      </c>
      <c r="E146" s="56" t="s">
        <v>154</v>
      </c>
      <c r="F146" s="56" t="s">
        <v>171</v>
      </c>
      <c r="G146" s="23" t="s">
        <v>194</v>
      </c>
      <c r="H146" s="56" t="s">
        <v>5</v>
      </c>
      <c r="I146" s="57">
        <v>10</v>
      </c>
      <c r="J146" s="44">
        <v>580000000</v>
      </c>
      <c r="K146" s="44">
        <v>0</v>
      </c>
      <c r="L146" s="44">
        <v>580000000</v>
      </c>
      <c r="M146" s="44">
        <f t="shared" si="72"/>
        <v>0</v>
      </c>
      <c r="N146" s="44">
        <v>0</v>
      </c>
      <c r="O146" s="44">
        <v>0</v>
      </c>
      <c r="P146" s="44">
        <f t="shared" si="79"/>
        <v>0</v>
      </c>
      <c r="Q146" s="58">
        <v>0</v>
      </c>
      <c r="R146" s="25">
        <f t="shared" si="63"/>
        <v>0</v>
      </c>
      <c r="S146" s="58">
        <v>0</v>
      </c>
      <c r="T146" s="59">
        <v>0</v>
      </c>
    </row>
    <row r="147" spans="1:20" ht="46.5" customHeight="1" x14ac:dyDescent="0.25">
      <c r="A147" s="95" t="s">
        <v>18</v>
      </c>
      <c r="B147" s="99" t="s">
        <v>90</v>
      </c>
      <c r="C147" s="99" t="s">
        <v>91</v>
      </c>
      <c r="D147" s="99" t="s">
        <v>95</v>
      </c>
      <c r="E147" s="99"/>
      <c r="F147" s="99"/>
      <c r="G147" s="12" t="s">
        <v>222</v>
      </c>
      <c r="H147" s="99" t="s">
        <v>5</v>
      </c>
      <c r="I147" s="100">
        <v>11</v>
      </c>
      <c r="J147" s="101">
        <f>J149+J150</f>
        <v>9015000000</v>
      </c>
      <c r="K147" s="101"/>
      <c r="L147" s="48">
        <f>L149+L150</f>
        <v>170206055</v>
      </c>
      <c r="M147" s="48">
        <f>M149+M150</f>
        <v>8844793945</v>
      </c>
      <c r="N147" s="48">
        <f t="shared" ref="N147:T147" si="80">N149+N150</f>
        <v>0</v>
      </c>
      <c r="O147" s="48">
        <f>O149+O150</f>
        <v>8841097116.8400002</v>
      </c>
      <c r="P147" s="48">
        <f>P149+P150</f>
        <v>3696828.1599998474</v>
      </c>
      <c r="Q147" s="101">
        <f t="shared" si="80"/>
        <v>8841097116.8400002</v>
      </c>
      <c r="R147" s="26">
        <f t="shared" si="63"/>
        <v>0.99958203343311469</v>
      </c>
      <c r="S147" s="101">
        <f t="shared" si="80"/>
        <v>2116386881.51</v>
      </c>
      <c r="T147" s="102">
        <f t="shared" si="80"/>
        <v>2116386881.51</v>
      </c>
    </row>
    <row r="148" spans="1:20" ht="46.5" customHeight="1" x14ac:dyDescent="0.25">
      <c r="A148" s="95" t="s">
        <v>18</v>
      </c>
      <c r="B148" s="99" t="s">
        <v>90</v>
      </c>
      <c r="C148" s="99" t="s">
        <v>91</v>
      </c>
      <c r="D148" s="99" t="s">
        <v>95</v>
      </c>
      <c r="E148" s="99"/>
      <c r="F148" s="99"/>
      <c r="G148" s="12" t="s">
        <v>222</v>
      </c>
      <c r="H148" s="99" t="s">
        <v>5</v>
      </c>
      <c r="I148" s="100">
        <v>21</v>
      </c>
      <c r="J148" s="101">
        <f>J151+J152</f>
        <v>2884000000</v>
      </c>
      <c r="K148" s="101">
        <f t="shared" ref="K148:T148" si="81">K151+K152</f>
        <v>49560000</v>
      </c>
      <c r="L148" s="48">
        <f t="shared" si="81"/>
        <v>49560000</v>
      </c>
      <c r="M148" s="48">
        <f t="shared" si="81"/>
        <v>2884000000</v>
      </c>
      <c r="N148" s="48">
        <f t="shared" si="81"/>
        <v>0</v>
      </c>
      <c r="O148" s="48">
        <f t="shared" si="81"/>
        <v>2876253694.0999999</v>
      </c>
      <c r="P148" s="48">
        <f t="shared" si="81"/>
        <v>7746305.9000000954</v>
      </c>
      <c r="Q148" s="101">
        <f t="shared" si="81"/>
        <v>2876253694.0999999</v>
      </c>
      <c r="R148" s="26">
        <f t="shared" si="63"/>
        <v>0.99731404095006937</v>
      </c>
      <c r="S148" s="101">
        <f t="shared" si="81"/>
        <v>2488667076.23</v>
      </c>
      <c r="T148" s="102">
        <f t="shared" si="81"/>
        <v>2488667076.23</v>
      </c>
    </row>
    <row r="149" spans="1:20" ht="46.5" customHeight="1" x14ac:dyDescent="0.25">
      <c r="A149" s="94" t="s">
        <v>18</v>
      </c>
      <c r="B149" s="56" t="s">
        <v>90</v>
      </c>
      <c r="C149" s="56" t="s">
        <v>91</v>
      </c>
      <c r="D149" s="56" t="s">
        <v>95</v>
      </c>
      <c r="E149" s="56" t="s">
        <v>152</v>
      </c>
      <c r="F149" s="56" t="s">
        <v>172</v>
      </c>
      <c r="G149" s="23" t="s">
        <v>195</v>
      </c>
      <c r="H149" s="56" t="s">
        <v>5</v>
      </c>
      <c r="I149" s="57">
        <v>11</v>
      </c>
      <c r="J149" s="58">
        <v>3965000000</v>
      </c>
      <c r="K149" s="58">
        <v>0</v>
      </c>
      <c r="L149" s="44">
        <f>24807983.57</f>
        <v>24807983.57</v>
      </c>
      <c r="M149" s="44">
        <f>J149+K149-L149</f>
        <v>3940192016.4299998</v>
      </c>
      <c r="N149" s="44">
        <v>0</v>
      </c>
      <c r="O149" s="44">
        <v>3937746768.27</v>
      </c>
      <c r="P149" s="44">
        <f>+M149-O149-N149</f>
        <v>2445248.1599998474</v>
      </c>
      <c r="Q149" s="58">
        <v>3937746768.27</v>
      </c>
      <c r="R149" s="25">
        <f t="shared" si="63"/>
        <v>0.99937940888418542</v>
      </c>
      <c r="S149" s="58">
        <v>620935362.72000003</v>
      </c>
      <c r="T149" s="59">
        <v>620935362.72000003</v>
      </c>
    </row>
    <row r="150" spans="1:20" ht="41.25" customHeight="1" x14ac:dyDescent="0.25">
      <c r="A150" s="94" t="s">
        <v>18</v>
      </c>
      <c r="B150" s="56" t="s">
        <v>90</v>
      </c>
      <c r="C150" s="56" t="s">
        <v>91</v>
      </c>
      <c r="D150" s="56" t="s">
        <v>95</v>
      </c>
      <c r="E150" s="56" t="s">
        <v>152</v>
      </c>
      <c r="F150" s="56" t="s">
        <v>173</v>
      </c>
      <c r="G150" s="23" t="s">
        <v>196</v>
      </c>
      <c r="H150" s="56" t="s">
        <v>5</v>
      </c>
      <c r="I150" s="57">
        <v>11</v>
      </c>
      <c r="J150" s="44">
        <v>5050000000</v>
      </c>
      <c r="K150" s="44"/>
      <c r="L150" s="44">
        <v>145398071.43000001</v>
      </c>
      <c r="M150" s="44">
        <f>J150+K150-L150</f>
        <v>4904601928.5699997</v>
      </c>
      <c r="N150" s="44">
        <v>0</v>
      </c>
      <c r="O150" s="44">
        <v>4903350348.5699997</v>
      </c>
      <c r="P150" s="44">
        <f>+M150-O150-N150</f>
        <v>1251580</v>
      </c>
      <c r="Q150" s="58">
        <v>4903350348.5699997</v>
      </c>
      <c r="R150" s="25">
        <f t="shared" si="63"/>
        <v>0.99974481517190839</v>
      </c>
      <c r="S150" s="58">
        <v>1495451518.79</v>
      </c>
      <c r="T150" s="59">
        <v>1495451518.79</v>
      </c>
    </row>
    <row r="151" spans="1:20" ht="41.25" customHeight="1" x14ac:dyDescent="0.25">
      <c r="A151" s="94" t="s">
        <v>18</v>
      </c>
      <c r="B151" s="56" t="s">
        <v>90</v>
      </c>
      <c r="C151" s="56" t="s">
        <v>91</v>
      </c>
      <c r="D151" s="56" t="s">
        <v>95</v>
      </c>
      <c r="E151" s="56" t="s">
        <v>152</v>
      </c>
      <c r="F151" s="56" t="s">
        <v>173</v>
      </c>
      <c r="G151" s="23" t="s">
        <v>196</v>
      </c>
      <c r="H151" s="56" t="s">
        <v>8</v>
      </c>
      <c r="I151" s="57">
        <v>21</v>
      </c>
      <c r="J151" s="44">
        <v>1584000000</v>
      </c>
      <c r="K151" s="44">
        <v>49560000</v>
      </c>
      <c r="L151" s="44">
        <v>0</v>
      </c>
      <c r="M151" s="44">
        <f t="shared" si="72"/>
        <v>1633560000</v>
      </c>
      <c r="N151" s="44">
        <v>0</v>
      </c>
      <c r="O151" s="44">
        <v>1633559999.0999999</v>
      </c>
      <c r="P151" s="44">
        <f t="shared" ref="P151" si="82">+M151-O151-N151</f>
        <v>0.90000009536743164</v>
      </c>
      <c r="Q151" s="58">
        <v>1633559999.0999999</v>
      </c>
      <c r="R151" s="25">
        <f t="shared" si="63"/>
        <v>0.99999999944905604</v>
      </c>
      <c r="S151" s="58">
        <v>1259029927.23</v>
      </c>
      <c r="T151" s="59">
        <v>1259029927.23</v>
      </c>
    </row>
    <row r="152" spans="1:20" ht="41.25" customHeight="1" x14ac:dyDescent="0.25">
      <c r="A152" s="94" t="s">
        <v>18</v>
      </c>
      <c r="B152" s="56" t="s">
        <v>90</v>
      </c>
      <c r="C152" s="56" t="s">
        <v>91</v>
      </c>
      <c r="D152" s="56" t="s">
        <v>95</v>
      </c>
      <c r="E152" s="56" t="s">
        <v>152</v>
      </c>
      <c r="F152" s="56" t="s">
        <v>172</v>
      </c>
      <c r="G152" s="23" t="s">
        <v>195</v>
      </c>
      <c r="H152" s="56" t="s">
        <v>8</v>
      </c>
      <c r="I152" s="57">
        <v>21</v>
      </c>
      <c r="J152" s="44">
        <v>1300000000</v>
      </c>
      <c r="K152" s="44">
        <v>0</v>
      </c>
      <c r="L152" s="44">
        <v>49560000</v>
      </c>
      <c r="M152" s="44">
        <f t="shared" si="72"/>
        <v>1250440000</v>
      </c>
      <c r="N152" s="44">
        <v>0</v>
      </c>
      <c r="O152" s="44">
        <v>1242693695</v>
      </c>
      <c r="P152" s="44">
        <f t="shared" ref="P152" si="83">+M152-O152-N152</f>
        <v>7746305</v>
      </c>
      <c r="Q152" s="58">
        <v>1242693695</v>
      </c>
      <c r="R152" s="25">
        <f t="shared" si="63"/>
        <v>0.9938051365919196</v>
      </c>
      <c r="S152" s="117">
        <v>1229637149</v>
      </c>
      <c r="T152" s="59">
        <v>1229637149</v>
      </c>
    </row>
    <row r="153" spans="1:20" s="103" customFormat="1" ht="41.25" customHeight="1" x14ac:dyDescent="0.25">
      <c r="A153" s="95" t="s">
        <v>18</v>
      </c>
      <c r="B153" s="99" t="s">
        <v>90</v>
      </c>
      <c r="C153" s="99" t="s">
        <v>91</v>
      </c>
      <c r="D153" s="99" t="s">
        <v>96</v>
      </c>
      <c r="E153" s="99"/>
      <c r="F153" s="99"/>
      <c r="G153" s="12" t="s">
        <v>240</v>
      </c>
      <c r="H153" s="99" t="s">
        <v>5</v>
      </c>
      <c r="I153" s="100">
        <v>10</v>
      </c>
      <c r="J153" s="48">
        <f>J154+J155+J156</f>
        <v>1300000000</v>
      </c>
      <c r="K153" s="48">
        <f>K154+K155+K156</f>
        <v>50000000</v>
      </c>
      <c r="L153" s="48">
        <f t="shared" ref="L153:T153" si="84">L154+L155+L156</f>
        <v>950000000</v>
      </c>
      <c r="M153" s="48">
        <f t="shared" si="84"/>
        <v>400000000</v>
      </c>
      <c r="N153" s="48">
        <f t="shared" si="84"/>
        <v>0</v>
      </c>
      <c r="O153" s="48">
        <f t="shared" si="84"/>
        <v>386823419</v>
      </c>
      <c r="P153" s="48">
        <f>P154+P155+P156</f>
        <v>13176581</v>
      </c>
      <c r="Q153" s="101">
        <f t="shared" si="84"/>
        <v>386823419</v>
      </c>
      <c r="R153" s="26">
        <f t="shared" si="63"/>
        <v>0.96705854749999998</v>
      </c>
      <c r="S153" s="101">
        <f t="shared" si="84"/>
        <v>85567625</v>
      </c>
      <c r="T153" s="102">
        <f t="shared" si="84"/>
        <v>85567625</v>
      </c>
    </row>
    <row r="154" spans="1:20" s="47" customFormat="1" ht="55.5" customHeight="1" x14ac:dyDescent="0.25">
      <c r="A154" s="94" t="s">
        <v>18</v>
      </c>
      <c r="B154" s="56" t="s">
        <v>90</v>
      </c>
      <c r="C154" s="56" t="s">
        <v>91</v>
      </c>
      <c r="D154" s="56" t="s">
        <v>96</v>
      </c>
      <c r="E154" s="56" t="s">
        <v>152</v>
      </c>
      <c r="F154" s="56" t="s">
        <v>174</v>
      </c>
      <c r="G154" s="23" t="s">
        <v>197</v>
      </c>
      <c r="H154" s="56" t="s">
        <v>5</v>
      </c>
      <c r="I154" s="57">
        <v>10</v>
      </c>
      <c r="J154" s="58">
        <v>437500000</v>
      </c>
      <c r="K154" s="44">
        <v>0</v>
      </c>
      <c r="L154" s="44">
        <f>50000000+387500000</f>
        <v>437500000</v>
      </c>
      <c r="M154" s="44">
        <f t="shared" si="72"/>
        <v>0</v>
      </c>
      <c r="N154" s="115">
        <v>0</v>
      </c>
      <c r="O154" s="44">
        <v>0</v>
      </c>
      <c r="P154" s="44">
        <f t="shared" si="69"/>
        <v>0</v>
      </c>
      <c r="Q154" s="58">
        <v>0</v>
      </c>
      <c r="R154" s="25">
        <f t="shared" si="63"/>
        <v>0</v>
      </c>
      <c r="S154" s="58">
        <v>0</v>
      </c>
      <c r="T154" s="59">
        <v>0</v>
      </c>
    </row>
    <row r="155" spans="1:20" s="47" customFormat="1" ht="48" customHeight="1" x14ac:dyDescent="0.25">
      <c r="A155" s="94" t="s">
        <v>18</v>
      </c>
      <c r="B155" s="56" t="s">
        <v>90</v>
      </c>
      <c r="C155" s="56" t="s">
        <v>91</v>
      </c>
      <c r="D155" s="56" t="s">
        <v>96</v>
      </c>
      <c r="E155" s="56" t="s">
        <v>152</v>
      </c>
      <c r="F155" s="56" t="s">
        <v>175</v>
      </c>
      <c r="G155" s="23" t="s">
        <v>198</v>
      </c>
      <c r="H155" s="56" t="s">
        <v>5</v>
      </c>
      <c r="I155" s="57">
        <v>10</v>
      </c>
      <c r="J155" s="58">
        <v>700000000</v>
      </c>
      <c r="K155" s="44">
        <v>50000000</v>
      </c>
      <c r="L155" s="44">
        <v>350000000</v>
      </c>
      <c r="M155" s="44">
        <f t="shared" si="72"/>
        <v>400000000</v>
      </c>
      <c r="N155" s="115">
        <v>0</v>
      </c>
      <c r="O155" s="44">
        <v>386823419</v>
      </c>
      <c r="P155" s="44">
        <f t="shared" ref="P155:P156" si="85">+M155-O155-N155</f>
        <v>13176581</v>
      </c>
      <c r="Q155" s="58">
        <v>386823419</v>
      </c>
      <c r="R155" s="25">
        <f t="shared" si="63"/>
        <v>0.96705854749999998</v>
      </c>
      <c r="S155" s="58">
        <v>85567625</v>
      </c>
      <c r="T155" s="59">
        <v>85567625</v>
      </c>
    </row>
    <row r="156" spans="1:20" s="47" customFormat="1" ht="42.75" customHeight="1" x14ac:dyDescent="0.25">
      <c r="A156" s="94" t="s">
        <v>18</v>
      </c>
      <c r="B156" s="56" t="s">
        <v>90</v>
      </c>
      <c r="C156" s="56" t="s">
        <v>91</v>
      </c>
      <c r="D156" s="56" t="s">
        <v>96</v>
      </c>
      <c r="E156" s="56" t="s">
        <v>152</v>
      </c>
      <c r="F156" s="56" t="s">
        <v>176</v>
      </c>
      <c r="G156" s="23" t="s">
        <v>199</v>
      </c>
      <c r="H156" s="56" t="s">
        <v>5</v>
      </c>
      <c r="I156" s="57">
        <v>10</v>
      </c>
      <c r="J156" s="58">
        <v>162500000</v>
      </c>
      <c r="K156" s="44">
        <v>0</v>
      </c>
      <c r="L156" s="44">
        <v>162500000</v>
      </c>
      <c r="M156" s="44">
        <f t="shared" si="72"/>
        <v>0</v>
      </c>
      <c r="N156" s="115">
        <v>0</v>
      </c>
      <c r="O156" s="44">
        <v>0</v>
      </c>
      <c r="P156" s="44">
        <f t="shared" si="85"/>
        <v>0</v>
      </c>
      <c r="Q156" s="58">
        <v>0</v>
      </c>
      <c r="R156" s="25">
        <f t="shared" si="63"/>
        <v>0</v>
      </c>
      <c r="S156" s="58">
        <v>0</v>
      </c>
      <c r="T156" s="59">
        <v>0</v>
      </c>
    </row>
    <row r="157" spans="1:20" s="47" customFormat="1" ht="42.75" customHeight="1" x14ac:dyDescent="0.25">
      <c r="A157" s="95" t="s">
        <v>18</v>
      </c>
      <c r="B157" s="99" t="s">
        <v>90</v>
      </c>
      <c r="C157" s="99" t="s">
        <v>91</v>
      </c>
      <c r="D157" s="99">
        <v>16</v>
      </c>
      <c r="E157" s="99"/>
      <c r="F157" s="99"/>
      <c r="G157" s="12" t="s">
        <v>223</v>
      </c>
      <c r="H157" s="56" t="s">
        <v>5</v>
      </c>
      <c r="I157" s="57">
        <v>10</v>
      </c>
      <c r="J157" s="101">
        <f>J158+J159+J160+J161</f>
        <v>20000000000</v>
      </c>
      <c r="K157" s="48">
        <f t="shared" ref="K157:T157" si="86">K158+K159+K160+K161</f>
        <v>0</v>
      </c>
      <c r="L157" s="48">
        <f t="shared" si="86"/>
        <v>5959205733</v>
      </c>
      <c r="M157" s="48">
        <f>M158+M159+M160+M161</f>
        <v>14040794267</v>
      </c>
      <c r="N157" s="48">
        <f t="shared" si="86"/>
        <v>0</v>
      </c>
      <c r="O157" s="48">
        <f t="shared" si="86"/>
        <v>13962075518.99</v>
      </c>
      <c r="P157" s="48">
        <f>P158+P159+P160+P161</f>
        <v>78718748.01000008</v>
      </c>
      <c r="Q157" s="101">
        <f t="shared" si="86"/>
        <v>13962075518.99</v>
      </c>
      <c r="R157" s="26">
        <f t="shared" si="63"/>
        <v>0.99439356873171969</v>
      </c>
      <c r="S157" s="101">
        <f t="shared" si="86"/>
        <v>1780436806.4000001</v>
      </c>
      <c r="T157" s="102">
        <f t="shared" si="86"/>
        <v>1780436806.4000001</v>
      </c>
    </row>
    <row r="158" spans="1:20" s="47" customFormat="1" ht="48" customHeight="1" x14ac:dyDescent="0.25">
      <c r="A158" s="94" t="s">
        <v>18</v>
      </c>
      <c r="B158" s="56" t="s">
        <v>90</v>
      </c>
      <c r="C158" s="56" t="s">
        <v>91</v>
      </c>
      <c r="D158" s="56">
        <v>16</v>
      </c>
      <c r="E158" s="56" t="s">
        <v>154</v>
      </c>
      <c r="F158" s="56" t="s">
        <v>164</v>
      </c>
      <c r="G158" s="23" t="s">
        <v>200</v>
      </c>
      <c r="H158" s="56" t="s">
        <v>5</v>
      </c>
      <c r="I158" s="57">
        <v>10</v>
      </c>
      <c r="J158" s="58">
        <v>8500000000</v>
      </c>
      <c r="K158" s="44">
        <v>0</v>
      </c>
      <c r="L158" s="44">
        <v>3.48</v>
      </c>
      <c r="M158" s="44">
        <f t="shared" si="72"/>
        <v>8499999996.5200005</v>
      </c>
      <c r="N158" s="44">
        <v>0</v>
      </c>
      <c r="O158" s="44">
        <v>8452311253.2600002</v>
      </c>
      <c r="P158" s="44">
        <f t="shared" si="69"/>
        <v>47688743.260000229</v>
      </c>
      <c r="Q158" s="58">
        <v>8452311253.2600002</v>
      </c>
      <c r="R158" s="25">
        <f t="shared" si="63"/>
        <v>0.99438955961417363</v>
      </c>
      <c r="S158" s="58">
        <v>403588290.39999998</v>
      </c>
      <c r="T158" s="59">
        <v>403588290.39999998</v>
      </c>
    </row>
    <row r="159" spans="1:20" s="47" customFormat="1" ht="48.75" customHeight="1" x14ac:dyDescent="0.25">
      <c r="A159" s="94" t="s">
        <v>18</v>
      </c>
      <c r="B159" s="56" t="s">
        <v>90</v>
      </c>
      <c r="C159" s="56" t="s">
        <v>91</v>
      </c>
      <c r="D159" s="56">
        <v>16</v>
      </c>
      <c r="E159" s="56" t="s">
        <v>154</v>
      </c>
      <c r="F159" s="56" t="s">
        <v>162</v>
      </c>
      <c r="G159" s="23" t="s">
        <v>201</v>
      </c>
      <c r="H159" s="56" t="s">
        <v>5</v>
      </c>
      <c r="I159" s="57">
        <v>10</v>
      </c>
      <c r="J159" s="58">
        <v>5100000000</v>
      </c>
      <c r="K159" s="44">
        <v>0</v>
      </c>
      <c r="L159" s="44">
        <f>68939093.93+287591962</f>
        <v>356531055.93000001</v>
      </c>
      <c r="M159" s="44">
        <f t="shared" si="72"/>
        <v>4743468944.0699997</v>
      </c>
      <c r="N159" s="115">
        <v>0</v>
      </c>
      <c r="O159" s="44">
        <v>4712438939.3199997</v>
      </c>
      <c r="P159" s="44">
        <f t="shared" ref="P159:P160" si="87">+M159-O159-N159</f>
        <v>31030004.75</v>
      </c>
      <c r="Q159" s="58">
        <v>4712438939.3199997</v>
      </c>
      <c r="R159" s="25">
        <f t="shared" si="63"/>
        <v>0.99345837295113071</v>
      </c>
      <c r="S159" s="58">
        <v>1343978146</v>
      </c>
      <c r="T159" s="59">
        <v>1343978146</v>
      </c>
    </row>
    <row r="160" spans="1:20" s="47" customFormat="1" ht="49.5" customHeight="1" x14ac:dyDescent="0.25">
      <c r="A160" s="94" t="s">
        <v>18</v>
      </c>
      <c r="B160" s="56" t="s">
        <v>90</v>
      </c>
      <c r="C160" s="56" t="s">
        <v>91</v>
      </c>
      <c r="D160" s="56">
        <v>16</v>
      </c>
      <c r="E160" s="56" t="s">
        <v>154</v>
      </c>
      <c r="F160" s="56" t="s">
        <v>170</v>
      </c>
      <c r="G160" s="23" t="s">
        <v>202</v>
      </c>
      <c r="H160" s="56" t="s">
        <v>5</v>
      </c>
      <c r="I160" s="57">
        <v>10</v>
      </c>
      <c r="J160" s="58">
        <v>900000000</v>
      </c>
      <c r="K160" s="44">
        <v>0</v>
      </c>
      <c r="L160" s="44">
        <v>270727510</v>
      </c>
      <c r="M160" s="44">
        <f t="shared" si="72"/>
        <v>629272490</v>
      </c>
      <c r="N160" s="44">
        <v>0</v>
      </c>
      <c r="O160" s="44">
        <v>629272490</v>
      </c>
      <c r="P160" s="44">
        <f t="shared" si="87"/>
        <v>0</v>
      </c>
      <c r="Q160" s="58">
        <v>629272490</v>
      </c>
      <c r="R160" s="25">
        <f t="shared" si="63"/>
        <v>1</v>
      </c>
      <c r="S160" s="58">
        <v>32870370</v>
      </c>
      <c r="T160" s="59">
        <v>32870370</v>
      </c>
    </row>
    <row r="161" spans="1:20" s="47" customFormat="1" ht="49.5" customHeight="1" x14ac:dyDescent="0.25">
      <c r="A161" s="94" t="s">
        <v>18</v>
      </c>
      <c r="B161" s="56" t="s">
        <v>90</v>
      </c>
      <c r="C161" s="56" t="s">
        <v>91</v>
      </c>
      <c r="D161" s="56">
        <v>16</v>
      </c>
      <c r="E161" s="56" t="s">
        <v>154</v>
      </c>
      <c r="F161" s="56" t="s">
        <v>168</v>
      </c>
      <c r="G161" s="23" t="s">
        <v>203</v>
      </c>
      <c r="H161" s="56" t="s">
        <v>5</v>
      </c>
      <c r="I161" s="57">
        <v>10</v>
      </c>
      <c r="J161" s="58">
        <v>5500000000</v>
      </c>
      <c r="K161" s="44">
        <v>0</v>
      </c>
      <c r="L161" s="44">
        <f>68236295.59+5263710868</f>
        <v>5331947163.5900002</v>
      </c>
      <c r="M161" s="44">
        <f t="shared" si="72"/>
        <v>168052836.40999985</v>
      </c>
      <c r="N161" s="115">
        <v>0</v>
      </c>
      <c r="O161" s="44">
        <v>168052836.41</v>
      </c>
      <c r="P161" s="116">
        <f>+M161-O161-N161</f>
        <v>-1.4901161193847656E-7</v>
      </c>
      <c r="Q161" s="58">
        <v>168052836.41</v>
      </c>
      <c r="R161" s="25">
        <f t="shared" si="63"/>
        <v>1.0000000000000009</v>
      </c>
      <c r="S161" s="58">
        <v>0</v>
      </c>
      <c r="T161" s="59">
        <v>0</v>
      </c>
    </row>
    <row r="162" spans="1:20" ht="31.5" customHeight="1" x14ac:dyDescent="0.25">
      <c r="A162" s="95" t="s">
        <v>18</v>
      </c>
      <c r="B162" s="11">
        <v>2999</v>
      </c>
      <c r="C162" s="11"/>
      <c r="D162" s="11"/>
      <c r="E162" s="11"/>
      <c r="F162" s="11"/>
      <c r="G162" s="12" t="s">
        <v>104</v>
      </c>
      <c r="H162" s="11" t="s">
        <v>5</v>
      </c>
      <c r="I162" s="13">
        <v>10</v>
      </c>
      <c r="J162" s="14">
        <f>J163</f>
        <v>35340115679</v>
      </c>
      <c r="K162" s="14">
        <f t="shared" ref="K162:Q162" si="88">K163</f>
        <v>2835287299</v>
      </c>
      <c r="L162" s="24">
        <f t="shared" si="88"/>
        <v>8870438505</v>
      </c>
      <c r="M162" s="48">
        <f t="shared" si="88"/>
        <v>29304964473</v>
      </c>
      <c r="N162" s="24">
        <f t="shared" si="88"/>
        <v>0</v>
      </c>
      <c r="O162" s="24">
        <f t="shared" si="88"/>
        <v>29044368425.419998</v>
      </c>
      <c r="P162" s="24">
        <f>P163</f>
        <v>260596047.58000055</v>
      </c>
      <c r="Q162" s="14">
        <f t="shared" si="88"/>
        <v>29044368425.419998</v>
      </c>
      <c r="R162" s="26">
        <f t="shared" si="63"/>
        <v>0.99110744366129155</v>
      </c>
      <c r="S162" s="14">
        <f>S163</f>
        <v>13672537584.68</v>
      </c>
      <c r="T162" s="22">
        <f t="shared" ref="T162" si="89">T163</f>
        <v>13672537584.68</v>
      </c>
    </row>
    <row r="163" spans="1:20" ht="31.5" customHeight="1" x14ac:dyDescent="0.25">
      <c r="A163" s="95" t="s">
        <v>18</v>
      </c>
      <c r="B163" s="11" t="s">
        <v>97</v>
      </c>
      <c r="C163" s="11" t="s">
        <v>91</v>
      </c>
      <c r="D163" s="11"/>
      <c r="E163" s="11"/>
      <c r="F163" s="11"/>
      <c r="G163" s="12" t="s">
        <v>235</v>
      </c>
      <c r="H163" s="11" t="s">
        <v>5</v>
      </c>
      <c r="I163" s="13">
        <v>10</v>
      </c>
      <c r="J163" s="14">
        <f>J164+J166+J168+J170+J173+J176+J178+J180+J182+J184+J187</f>
        <v>35340115679</v>
      </c>
      <c r="K163" s="14">
        <f t="shared" ref="K163:O163" si="90">K164+K166+K168+K170+K173+K176+K178+K180+K182+K184+K187</f>
        <v>2835287299</v>
      </c>
      <c r="L163" s="24">
        <f t="shared" si="90"/>
        <v>8870438505</v>
      </c>
      <c r="M163" s="48">
        <f>M164+M166+M168+M170+M173+M176+M178+M180+M182+M184+M187</f>
        <v>29304964473</v>
      </c>
      <c r="N163" s="24">
        <f t="shared" si="90"/>
        <v>0</v>
      </c>
      <c r="O163" s="24">
        <f t="shared" si="90"/>
        <v>29044368425.419998</v>
      </c>
      <c r="P163" s="24">
        <f>P164+P166+P168+P170+P173+P176+P178+P180+P182+P184+P187</f>
        <v>260596047.58000055</v>
      </c>
      <c r="Q163" s="14">
        <f>Q164+Q166+Q168+Q170+Q173+Q176+Q178+Q180+Q182+Q184+Q187</f>
        <v>29044368425.419998</v>
      </c>
      <c r="R163" s="26">
        <f t="shared" si="63"/>
        <v>0.99110744366129155</v>
      </c>
      <c r="S163" s="14">
        <f>S164+S166+S168+S170+S173+S176+S178+S180+S182+S184+S187</f>
        <v>13672537584.68</v>
      </c>
      <c r="T163" s="22">
        <f>T164+T166+T168+T170+T173+T176+T178+T180+T182+T184+T187</f>
        <v>13672537584.68</v>
      </c>
    </row>
    <row r="164" spans="1:20" ht="31.5" customHeight="1" x14ac:dyDescent="0.25">
      <c r="A164" s="95" t="s">
        <v>18</v>
      </c>
      <c r="B164" s="11" t="s">
        <v>97</v>
      </c>
      <c r="C164" s="11" t="s">
        <v>91</v>
      </c>
      <c r="D164" s="11">
        <v>10</v>
      </c>
      <c r="E164" s="11"/>
      <c r="F164" s="11"/>
      <c r="G164" s="12" t="s">
        <v>224</v>
      </c>
      <c r="H164" s="11" t="s">
        <v>5</v>
      </c>
      <c r="I164" s="13">
        <v>10</v>
      </c>
      <c r="J164" s="14">
        <f>J165</f>
        <v>330000000</v>
      </c>
      <c r="K164" s="14">
        <f t="shared" ref="K164:T164" si="91">K165</f>
        <v>0</v>
      </c>
      <c r="L164" s="24">
        <f t="shared" si="91"/>
        <v>314628814</v>
      </c>
      <c r="M164" s="48">
        <f t="shared" si="91"/>
        <v>15371186</v>
      </c>
      <c r="N164" s="24">
        <f t="shared" si="91"/>
        <v>0</v>
      </c>
      <c r="O164" s="24">
        <f t="shared" si="91"/>
        <v>15371185.779999999</v>
      </c>
      <c r="P164" s="24">
        <f>P165</f>
        <v>0.22000000067055225</v>
      </c>
      <c r="Q164" s="14">
        <f t="shared" si="91"/>
        <v>15371185.779999999</v>
      </c>
      <c r="R164" s="26">
        <f t="shared" si="63"/>
        <v>0.99999998568750648</v>
      </c>
      <c r="S164" s="14">
        <f>S165</f>
        <v>9525757.2599999998</v>
      </c>
      <c r="T164" s="10">
        <f t="shared" si="91"/>
        <v>9525757.2599999998</v>
      </c>
    </row>
    <row r="165" spans="1:20" ht="31.5" customHeight="1" x14ac:dyDescent="0.25">
      <c r="A165" s="94" t="s">
        <v>18</v>
      </c>
      <c r="B165" s="7" t="s">
        <v>97</v>
      </c>
      <c r="C165" s="7" t="s">
        <v>91</v>
      </c>
      <c r="D165" s="7">
        <v>10</v>
      </c>
      <c r="E165" s="7" t="s">
        <v>151</v>
      </c>
      <c r="F165" s="7" t="s">
        <v>179</v>
      </c>
      <c r="G165" s="23" t="s">
        <v>204</v>
      </c>
      <c r="H165" s="7" t="s">
        <v>5</v>
      </c>
      <c r="I165" s="8">
        <v>10</v>
      </c>
      <c r="J165" s="9">
        <v>330000000</v>
      </c>
      <c r="K165" s="27">
        <v>0</v>
      </c>
      <c r="L165" s="27">
        <v>314628814</v>
      </c>
      <c r="M165" s="44">
        <f>J165+K165-L165</f>
        <v>15371186</v>
      </c>
      <c r="N165" s="109">
        <v>0</v>
      </c>
      <c r="O165" s="27">
        <v>15371185.779999999</v>
      </c>
      <c r="P165" s="27">
        <f>+M165-O165-N165</f>
        <v>0.22000000067055225</v>
      </c>
      <c r="Q165" s="9">
        <v>15371185.779999999</v>
      </c>
      <c r="R165" s="25">
        <f t="shared" si="63"/>
        <v>0.99999998568750648</v>
      </c>
      <c r="S165" s="9">
        <v>9525757.2599999998</v>
      </c>
      <c r="T165" s="10">
        <v>9525757.2599999998</v>
      </c>
    </row>
    <row r="166" spans="1:20" ht="31.5" customHeight="1" x14ac:dyDescent="0.25">
      <c r="A166" s="95" t="s">
        <v>18</v>
      </c>
      <c r="B166" s="11" t="s">
        <v>97</v>
      </c>
      <c r="C166" s="11" t="s">
        <v>91</v>
      </c>
      <c r="D166" s="11">
        <v>11</v>
      </c>
      <c r="E166" s="11"/>
      <c r="F166" s="11"/>
      <c r="G166" s="12" t="s">
        <v>225</v>
      </c>
      <c r="H166" s="11" t="s">
        <v>5</v>
      </c>
      <c r="I166" s="13">
        <v>10</v>
      </c>
      <c r="J166" s="14">
        <f>J167</f>
        <v>3793000000</v>
      </c>
      <c r="K166" s="24">
        <f t="shared" ref="K166:T166" si="92">K167</f>
        <v>0</v>
      </c>
      <c r="L166" s="24">
        <f t="shared" si="92"/>
        <v>3793000000</v>
      </c>
      <c r="M166" s="48">
        <f t="shared" si="92"/>
        <v>0</v>
      </c>
      <c r="N166" s="24">
        <f t="shared" si="92"/>
        <v>0</v>
      </c>
      <c r="O166" s="24">
        <f t="shared" si="92"/>
        <v>0</v>
      </c>
      <c r="P166" s="24">
        <f t="shared" si="92"/>
        <v>0</v>
      </c>
      <c r="Q166" s="14">
        <f t="shared" si="92"/>
        <v>0</v>
      </c>
      <c r="R166" s="26">
        <f t="shared" si="63"/>
        <v>0</v>
      </c>
      <c r="S166" s="14">
        <f t="shared" si="92"/>
        <v>0</v>
      </c>
      <c r="T166" s="22">
        <f t="shared" si="92"/>
        <v>0</v>
      </c>
    </row>
    <row r="167" spans="1:20" ht="31.5" customHeight="1" x14ac:dyDescent="0.25">
      <c r="A167" s="94" t="s">
        <v>18</v>
      </c>
      <c r="B167" s="7" t="s">
        <v>97</v>
      </c>
      <c r="C167" s="7" t="s">
        <v>91</v>
      </c>
      <c r="D167" s="7">
        <v>11</v>
      </c>
      <c r="E167" s="7" t="s">
        <v>151</v>
      </c>
      <c r="F167" s="7" t="s">
        <v>179</v>
      </c>
      <c r="G167" s="23" t="s">
        <v>205</v>
      </c>
      <c r="H167" s="7" t="s">
        <v>5</v>
      </c>
      <c r="I167" s="8">
        <v>10</v>
      </c>
      <c r="J167" s="9">
        <v>3793000000</v>
      </c>
      <c r="K167" s="27">
        <v>0</v>
      </c>
      <c r="L167" s="27">
        <f>2784473477+1008526523</f>
        <v>3793000000</v>
      </c>
      <c r="M167" s="44">
        <f t="shared" ref="M167:M188" si="93">J167+K167-L167</f>
        <v>0</v>
      </c>
      <c r="N167" s="109">
        <v>0</v>
      </c>
      <c r="O167" s="27">
        <v>0</v>
      </c>
      <c r="P167" s="27">
        <f t="shared" ref="P167:P183" si="94">+M167-O167-N167</f>
        <v>0</v>
      </c>
      <c r="Q167" s="9">
        <v>0</v>
      </c>
      <c r="R167" s="25">
        <f t="shared" si="63"/>
        <v>0</v>
      </c>
      <c r="S167" s="9">
        <v>0</v>
      </c>
      <c r="T167" s="10">
        <v>0</v>
      </c>
    </row>
    <row r="168" spans="1:20" ht="31.5" customHeight="1" x14ac:dyDescent="0.25">
      <c r="A168" s="95" t="s">
        <v>18</v>
      </c>
      <c r="B168" s="11" t="s">
        <v>97</v>
      </c>
      <c r="C168" s="99" t="s">
        <v>91</v>
      </c>
      <c r="D168" s="99" t="s">
        <v>94</v>
      </c>
      <c r="E168" s="11"/>
      <c r="F168" s="11"/>
      <c r="G168" s="12" t="s">
        <v>226</v>
      </c>
      <c r="H168" s="99" t="s">
        <v>5</v>
      </c>
      <c r="I168" s="100">
        <v>10</v>
      </c>
      <c r="J168" s="14">
        <f>J169</f>
        <v>500000000</v>
      </c>
      <c r="K168" s="24">
        <f t="shared" ref="K168:T168" si="95">K169</f>
        <v>0</v>
      </c>
      <c r="L168" s="24">
        <f t="shared" si="95"/>
        <v>0</v>
      </c>
      <c r="M168" s="48">
        <f t="shared" si="95"/>
        <v>500000000</v>
      </c>
      <c r="N168" s="24">
        <f t="shared" si="95"/>
        <v>0</v>
      </c>
      <c r="O168" s="24">
        <f t="shared" si="95"/>
        <v>397009313.56999999</v>
      </c>
      <c r="P168" s="24">
        <f>P169</f>
        <v>102990686.43000001</v>
      </c>
      <c r="Q168" s="14">
        <f t="shared" si="95"/>
        <v>397009313.56999999</v>
      </c>
      <c r="R168" s="26">
        <f t="shared" si="63"/>
        <v>0.79401862713999993</v>
      </c>
      <c r="S168" s="14">
        <f t="shared" si="95"/>
        <v>0</v>
      </c>
      <c r="T168" s="22">
        <f t="shared" si="95"/>
        <v>0</v>
      </c>
    </row>
    <row r="169" spans="1:20" ht="42.75" customHeight="1" x14ac:dyDescent="0.25">
      <c r="A169" s="94" t="s">
        <v>18</v>
      </c>
      <c r="B169" s="7" t="s">
        <v>97</v>
      </c>
      <c r="C169" s="56" t="s">
        <v>91</v>
      </c>
      <c r="D169" s="56" t="s">
        <v>94</v>
      </c>
      <c r="E169" s="56" t="s">
        <v>155</v>
      </c>
      <c r="F169" s="56" t="s">
        <v>180</v>
      </c>
      <c r="G169" s="23" t="s">
        <v>206</v>
      </c>
      <c r="H169" s="56" t="s">
        <v>5</v>
      </c>
      <c r="I169" s="57">
        <v>10</v>
      </c>
      <c r="J169" s="44">
        <v>500000000</v>
      </c>
      <c r="K169" s="44">
        <v>0</v>
      </c>
      <c r="L169" s="44">
        <v>0</v>
      </c>
      <c r="M169" s="44">
        <f t="shared" si="93"/>
        <v>500000000</v>
      </c>
      <c r="N169" s="44">
        <v>0</v>
      </c>
      <c r="O169" s="44">
        <v>397009313.56999999</v>
      </c>
      <c r="P169" s="27">
        <f t="shared" si="94"/>
        <v>102990686.43000001</v>
      </c>
      <c r="Q169" s="58">
        <v>397009313.56999999</v>
      </c>
      <c r="R169" s="25">
        <f t="shared" si="63"/>
        <v>0.79401862713999993</v>
      </c>
      <c r="S169" s="58">
        <v>0</v>
      </c>
      <c r="T169" s="59">
        <v>0</v>
      </c>
    </row>
    <row r="170" spans="1:20" ht="42.75" customHeight="1" x14ac:dyDescent="0.25">
      <c r="A170" s="95" t="s">
        <v>18</v>
      </c>
      <c r="B170" s="99" t="s">
        <v>97</v>
      </c>
      <c r="C170" s="99" t="s">
        <v>91</v>
      </c>
      <c r="D170" s="99" t="s">
        <v>95</v>
      </c>
      <c r="E170" s="99"/>
      <c r="F170" s="99"/>
      <c r="G170" s="12" t="s">
        <v>227</v>
      </c>
      <c r="H170" s="99" t="s">
        <v>5</v>
      </c>
      <c r="I170" s="100">
        <v>10</v>
      </c>
      <c r="J170" s="48">
        <f>J171+J172</f>
        <v>12782494000</v>
      </c>
      <c r="K170" s="48">
        <f t="shared" ref="K170:T170" si="96">K171+K172</f>
        <v>0</v>
      </c>
      <c r="L170" s="48">
        <f t="shared" si="96"/>
        <v>0</v>
      </c>
      <c r="M170" s="48">
        <f t="shared" si="96"/>
        <v>12782494000</v>
      </c>
      <c r="N170" s="48">
        <f t="shared" si="96"/>
        <v>0</v>
      </c>
      <c r="O170" s="48">
        <f t="shared" si="96"/>
        <v>12782445626.58</v>
      </c>
      <c r="P170" s="24">
        <f>P171+P172</f>
        <v>48373.42000079155</v>
      </c>
      <c r="Q170" s="101">
        <f t="shared" si="96"/>
        <v>12782445626.58</v>
      </c>
      <c r="R170" s="26">
        <f t="shared" si="63"/>
        <v>0.99999621565087371</v>
      </c>
      <c r="S170" s="101">
        <f t="shared" si="96"/>
        <v>9355620094.5799999</v>
      </c>
      <c r="T170" s="102">
        <f t="shared" si="96"/>
        <v>9355620094.5799999</v>
      </c>
    </row>
    <row r="171" spans="1:20" ht="33" customHeight="1" x14ac:dyDescent="0.25">
      <c r="A171" s="94" t="s">
        <v>18</v>
      </c>
      <c r="B171" s="56" t="s">
        <v>97</v>
      </c>
      <c r="C171" s="56" t="s">
        <v>91</v>
      </c>
      <c r="D171" s="56" t="s">
        <v>95</v>
      </c>
      <c r="E171" s="56" t="s">
        <v>155</v>
      </c>
      <c r="F171" s="56" t="s">
        <v>177</v>
      </c>
      <c r="G171" s="23" t="s">
        <v>207</v>
      </c>
      <c r="H171" s="56" t="s">
        <v>5</v>
      </c>
      <c r="I171" s="57">
        <v>10</v>
      </c>
      <c r="J171" s="58">
        <v>390000000</v>
      </c>
      <c r="K171" s="44">
        <v>0</v>
      </c>
      <c r="L171" s="44">
        <v>0</v>
      </c>
      <c r="M171" s="44">
        <f t="shared" si="93"/>
        <v>390000000</v>
      </c>
      <c r="N171" s="44">
        <v>0</v>
      </c>
      <c r="O171" s="44">
        <v>389951628.27999997</v>
      </c>
      <c r="P171" s="27">
        <f t="shared" si="94"/>
        <v>48371.72000002861</v>
      </c>
      <c r="Q171" s="58">
        <v>389951628.27999997</v>
      </c>
      <c r="R171" s="25">
        <f t="shared" si="63"/>
        <v>0.99987596994871786</v>
      </c>
      <c r="S171" s="58">
        <v>25080958.989999998</v>
      </c>
      <c r="T171" s="59">
        <v>25080958.989999998</v>
      </c>
    </row>
    <row r="172" spans="1:20" ht="47.25" customHeight="1" x14ac:dyDescent="0.25">
      <c r="A172" s="94" t="s">
        <v>18</v>
      </c>
      <c r="B172" s="56" t="s">
        <v>97</v>
      </c>
      <c r="C172" s="56" t="s">
        <v>91</v>
      </c>
      <c r="D172" s="56" t="s">
        <v>95</v>
      </c>
      <c r="E172" s="56" t="s">
        <v>155</v>
      </c>
      <c r="F172" s="56" t="s">
        <v>178</v>
      </c>
      <c r="G172" s="23" t="s">
        <v>208</v>
      </c>
      <c r="H172" s="56" t="s">
        <v>5</v>
      </c>
      <c r="I172" s="57">
        <v>10</v>
      </c>
      <c r="J172" s="58">
        <v>12392494000</v>
      </c>
      <c r="K172" s="44">
        <v>0</v>
      </c>
      <c r="L172" s="44">
        <v>0</v>
      </c>
      <c r="M172" s="44">
        <f t="shared" si="93"/>
        <v>12392494000</v>
      </c>
      <c r="N172" s="44">
        <v>0</v>
      </c>
      <c r="O172" s="44">
        <v>12392493998.299999</v>
      </c>
      <c r="P172" s="27">
        <f t="shared" ref="P172" si="97">+M172-O172-N172</f>
        <v>1.7000007629394531</v>
      </c>
      <c r="Q172" s="58">
        <v>12392493998.299999</v>
      </c>
      <c r="R172" s="25">
        <f t="shared" si="63"/>
        <v>0.99999999986282018</v>
      </c>
      <c r="S172" s="58">
        <v>9330539135.5900002</v>
      </c>
      <c r="T172" s="59">
        <v>9330539135.5900002</v>
      </c>
    </row>
    <row r="173" spans="1:20" ht="47.25" customHeight="1" x14ac:dyDescent="0.25">
      <c r="A173" s="95" t="s">
        <v>18</v>
      </c>
      <c r="B173" s="99" t="s">
        <v>97</v>
      </c>
      <c r="C173" s="99" t="s">
        <v>91</v>
      </c>
      <c r="D173" s="99" t="s">
        <v>96</v>
      </c>
      <c r="E173" s="99"/>
      <c r="F173" s="99"/>
      <c r="G173" s="12" t="s">
        <v>228</v>
      </c>
      <c r="H173" s="99" t="s">
        <v>5</v>
      </c>
      <c r="I173" s="100">
        <v>10</v>
      </c>
      <c r="J173" s="101">
        <f>J174+J175</f>
        <v>5000000000</v>
      </c>
      <c r="K173" s="48">
        <f t="shared" ref="K173:T173" si="98">K174+K175</f>
        <v>0</v>
      </c>
      <c r="L173" s="48">
        <f t="shared" si="98"/>
        <v>0</v>
      </c>
      <c r="M173" s="48">
        <f t="shared" si="98"/>
        <v>5000000000</v>
      </c>
      <c r="N173" s="48">
        <f t="shared" si="98"/>
        <v>0</v>
      </c>
      <c r="O173" s="48">
        <f t="shared" si="98"/>
        <v>4972996632.4200001</v>
      </c>
      <c r="P173" s="24">
        <f>P174+P175</f>
        <v>27003367.579999924</v>
      </c>
      <c r="Q173" s="101">
        <f t="shared" si="98"/>
        <v>4972996632.4200001</v>
      </c>
      <c r="R173" s="26">
        <f t="shared" si="63"/>
        <v>0.99459932648400007</v>
      </c>
      <c r="S173" s="101">
        <f t="shared" si="98"/>
        <v>3236005668.0900002</v>
      </c>
      <c r="T173" s="102">
        <f t="shared" si="98"/>
        <v>3236005668.0900002</v>
      </c>
    </row>
    <row r="174" spans="1:20" ht="41.25" customHeight="1" x14ac:dyDescent="0.25">
      <c r="A174" s="94" t="s">
        <v>18</v>
      </c>
      <c r="B174" s="56" t="s">
        <v>97</v>
      </c>
      <c r="C174" s="56" t="s">
        <v>91</v>
      </c>
      <c r="D174" s="56" t="s">
        <v>96</v>
      </c>
      <c r="E174" s="56" t="s">
        <v>155</v>
      </c>
      <c r="F174" s="56" t="s">
        <v>181</v>
      </c>
      <c r="G174" s="23" t="s">
        <v>209</v>
      </c>
      <c r="H174" s="56" t="s">
        <v>5</v>
      </c>
      <c r="I174" s="57">
        <v>10</v>
      </c>
      <c r="J174" s="58">
        <v>1100000000</v>
      </c>
      <c r="K174" s="44">
        <v>0</v>
      </c>
      <c r="L174" s="44">
        <v>0</v>
      </c>
      <c r="M174" s="44">
        <f t="shared" si="93"/>
        <v>1100000000</v>
      </c>
      <c r="N174" s="44">
        <v>0</v>
      </c>
      <c r="O174" s="44">
        <v>1100000000</v>
      </c>
      <c r="P174" s="27">
        <f t="shared" si="94"/>
        <v>0</v>
      </c>
      <c r="Q174" s="58">
        <v>1100000000</v>
      </c>
      <c r="R174" s="25">
        <f t="shared" si="63"/>
        <v>1</v>
      </c>
      <c r="S174" s="58">
        <v>880046968</v>
      </c>
      <c r="T174" s="59">
        <v>880046968</v>
      </c>
    </row>
    <row r="175" spans="1:20" ht="47.25" customHeight="1" x14ac:dyDescent="0.25">
      <c r="A175" s="94" t="s">
        <v>18</v>
      </c>
      <c r="B175" s="56" t="s">
        <v>97</v>
      </c>
      <c r="C175" s="56" t="s">
        <v>91</v>
      </c>
      <c r="D175" s="56" t="s">
        <v>96</v>
      </c>
      <c r="E175" s="56" t="s">
        <v>155</v>
      </c>
      <c r="F175" s="56" t="s">
        <v>178</v>
      </c>
      <c r="G175" s="23" t="s">
        <v>210</v>
      </c>
      <c r="H175" s="56" t="s">
        <v>5</v>
      </c>
      <c r="I175" s="57">
        <v>10</v>
      </c>
      <c r="J175" s="58">
        <v>3900000000</v>
      </c>
      <c r="K175" s="44">
        <v>0</v>
      </c>
      <c r="L175" s="44">
        <v>0</v>
      </c>
      <c r="M175" s="44">
        <f t="shared" si="93"/>
        <v>3900000000</v>
      </c>
      <c r="N175" s="44">
        <v>0</v>
      </c>
      <c r="O175" s="44">
        <v>3872996632.4200001</v>
      </c>
      <c r="P175" s="27">
        <f t="shared" ref="P175" si="99">+M175-O175-N175</f>
        <v>27003367.579999924</v>
      </c>
      <c r="Q175" s="58">
        <v>3872996632.4200001</v>
      </c>
      <c r="R175" s="25">
        <f t="shared" si="63"/>
        <v>0.99307605959487177</v>
      </c>
      <c r="S175" s="58">
        <v>2355958700.0900002</v>
      </c>
      <c r="T175" s="59">
        <v>2355958700.0900002</v>
      </c>
    </row>
    <row r="176" spans="1:20" ht="47.25" customHeight="1" x14ac:dyDescent="0.25">
      <c r="A176" s="95" t="s">
        <v>18</v>
      </c>
      <c r="B176" s="99" t="s">
        <v>97</v>
      </c>
      <c r="C176" s="99" t="s">
        <v>91</v>
      </c>
      <c r="D176" s="99" t="s">
        <v>98</v>
      </c>
      <c r="E176" s="99"/>
      <c r="F176" s="99"/>
      <c r="G176" s="12" t="s">
        <v>229</v>
      </c>
      <c r="H176" s="99" t="s">
        <v>5</v>
      </c>
      <c r="I176" s="100">
        <v>10</v>
      </c>
      <c r="J176" s="101">
        <f>J177</f>
        <v>70000000</v>
      </c>
      <c r="K176" s="48">
        <f t="shared" ref="K176:T176" si="100">K177</f>
        <v>0</v>
      </c>
      <c r="L176" s="48">
        <f t="shared" si="100"/>
        <v>0</v>
      </c>
      <c r="M176" s="48">
        <f t="shared" si="100"/>
        <v>70000000</v>
      </c>
      <c r="N176" s="48">
        <f t="shared" si="100"/>
        <v>0</v>
      </c>
      <c r="O176" s="48">
        <f t="shared" si="100"/>
        <v>69913600</v>
      </c>
      <c r="P176" s="24">
        <f t="shared" si="100"/>
        <v>86400</v>
      </c>
      <c r="Q176" s="101">
        <f t="shared" si="100"/>
        <v>69913600</v>
      </c>
      <c r="R176" s="26">
        <f t="shared" si="63"/>
        <v>0.99876571428571426</v>
      </c>
      <c r="S176" s="101">
        <f t="shared" si="100"/>
        <v>62922240</v>
      </c>
      <c r="T176" s="102">
        <f t="shared" si="100"/>
        <v>62922240</v>
      </c>
    </row>
    <row r="177" spans="1:20" ht="39" customHeight="1" x14ac:dyDescent="0.25">
      <c r="A177" s="94" t="s">
        <v>18</v>
      </c>
      <c r="B177" s="56" t="s">
        <v>97</v>
      </c>
      <c r="C177" s="56" t="s">
        <v>91</v>
      </c>
      <c r="D177" s="56" t="s">
        <v>98</v>
      </c>
      <c r="E177" s="56" t="s">
        <v>155</v>
      </c>
      <c r="F177" s="56" t="s">
        <v>182</v>
      </c>
      <c r="G177" s="23" t="s">
        <v>211</v>
      </c>
      <c r="H177" s="56" t="s">
        <v>5</v>
      </c>
      <c r="I177" s="57">
        <v>10</v>
      </c>
      <c r="J177" s="58">
        <v>70000000</v>
      </c>
      <c r="K177" s="44">
        <v>0</v>
      </c>
      <c r="L177" s="44">
        <v>0</v>
      </c>
      <c r="M177" s="44">
        <f t="shared" si="93"/>
        <v>70000000</v>
      </c>
      <c r="N177" s="115">
        <v>0</v>
      </c>
      <c r="O177" s="44">
        <v>69913600</v>
      </c>
      <c r="P177" s="27">
        <f t="shared" si="94"/>
        <v>86400</v>
      </c>
      <c r="Q177" s="58">
        <v>69913600</v>
      </c>
      <c r="R177" s="25">
        <f t="shared" si="63"/>
        <v>0.99876571428571426</v>
      </c>
      <c r="S177" s="58">
        <v>62922240</v>
      </c>
      <c r="T177" s="59">
        <v>62922240</v>
      </c>
    </row>
    <row r="178" spans="1:20" ht="39" customHeight="1" x14ac:dyDescent="0.25">
      <c r="A178" s="95" t="s">
        <v>18</v>
      </c>
      <c r="B178" s="99" t="s">
        <v>97</v>
      </c>
      <c r="C178" s="99" t="s">
        <v>91</v>
      </c>
      <c r="D178" s="99" t="s">
        <v>99</v>
      </c>
      <c r="E178" s="99"/>
      <c r="F178" s="99"/>
      <c r="G178" s="12" t="s">
        <v>230</v>
      </c>
      <c r="H178" s="99" t="s">
        <v>5</v>
      </c>
      <c r="I178" s="100">
        <v>10</v>
      </c>
      <c r="J178" s="101">
        <f>J179</f>
        <v>2566000000</v>
      </c>
      <c r="K178" s="48">
        <f t="shared" ref="K178:T178" si="101">K179</f>
        <v>2784473477</v>
      </c>
      <c r="L178" s="48">
        <f t="shared" si="101"/>
        <v>0</v>
      </c>
      <c r="M178" s="48">
        <f t="shared" si="101"/>
        <v>5350473477</v>
      </c>
      <c r="N178" s="48">
        <f t="shared" si="101"/>
        <v>0</v>
      </c>
      <c r="O178" s="48">
        <f t="shared" si="101"/>
        <v>5350374579.5500002</v>
      </c>
      <c r="P178" s="24">
        <f t="shared" si="101"/>
        <v>98897.449999809265</v>
      </c>
      <c r="Q178" s="101">
        <f t="shared" si="101"/>
        <v>5350374579.5500002</v>
      </c>
      <c r="R178" s="26">
        <f t="shared" si="63"/>
        <v>0.99998151613115649</v>
      </c>
      <c r="S178" s="101">
        <f t="shared" si="101"/>
        <v>2103497.5499999998</v>
      </c>
      <c r="T178" s="102">
        <f t="shared" si="101"/>
        <v>2103497.5499999998</v>
      </c>
    </row>
    <row r="179" spans="1:20" ht="32.25" customHeight="1" x14ac:dyDescent="0.25">
      <c r="A179" s="94" t="s">
        <v>18</v>
      </c>
      <c r="B179" s="56" t="s">
        <v>97</v>
      </c>
      <c r="C179" s="56" t="s">
        <v>91</v>
      </c>
      <c r="D179" s="56" t="s">
        <v>99</v>
      </c>
      <c r="E179" s="56" t="s">
        <v>151</v>
      </c>
      <c r="F179" s="56" t="s">
        <v>183</v>
      </c>
      <c r="G179" s="23" t="s">
        <v>212</v>
      </c>
      <c r="H179" s="56" t="s">
        <v>5</v>
      </c>
      <c r="I179" s="57">
        <v>10</v>
      </c>
      <c r="J179" s="58">
        <v>2566000000</v>
      </c>
      <c r="K179" s="44">
        <v>2784473477</v>
      </c>
      <c r="L179" s="44">
        <v>0</v>
      </c>
      <c r="M179" s="44">
        <f t="shared" si="93"/>
        <v>5350473477</v>
      </c>
      <c r="N179" s="44">
        <v>0</v>
      </c>
      <c r="O179" s="44">
        <v>5350374579.5500002</v>
      </c>
      <c r="P179" s="27">
        <f>+M179-O179-N179</f>
        <v>98897.449999809265</v>
      </c>
      <c r="Q179" s="58">
        <v>5350374579.5500002</v>
      </c>
      <c r="R179" s="25">
        <f t="shared" si="63"/>
        <v>0.99998151613115649</v>
      </c>
      <c r="S179" s="58">
        <v>2103497.5499999998</v>
      </c>
      <c r="T179" s="59">
        <v>2103497.5499999998</v>
      </c>
    </row>
    <row r="180" spans="1:20" s="103" customFormat="1" ht="32.25" customHeight="1" x14ac:dyDescent="0.25">
      <c r="A180" s="95" t="s">
        <v>18</v>
      </c>
      <c r="B180" s="99" t="s">
        <v>97</v>
      </c>
      <c r="C180" s="99" t="s">
        <v>91</v>
      </c>
      <c r="D180" s="99" t="s">
        <v>100</v>
      </c>
      <c r="E180" s="99"/>
      <c r="F180" s="99"/>
      <c r="G180" s="12" t="s">
        <v>231</v>
      </c>
      <c r="H180" s="99" t="s">
        <v>5</v>
      </c>
      <c r="I180" s="100">
        <v>10</v>
      </c>
      <c r="J180" s="101">
        <f>J181</f>
        <v>700000000</v>
      </c>
      <c r="K180" s="48">
        <f t="shared" ref="K180:T180" si="102">K181</f>
        <v>0</v>
      </c>
      <c r="L180" s="48">
        <f t="shared" si="102"/>
        <v>0</v>
      </c>
      <c r="M180" s="48">
        <f t="shared" si="102"/>
        <v>700000000</v>
      </c>
      <c r="N180" s="48">
        <f t="shared" si="102"/>
        <v>0</v>
      </c>
      <c r="O180" s="48">
        <f t="shared" si="102"/>
        <v>699965474</v>
      </c>
      <c r="P180" s="24">
        <f t="shared" si="102"/>
        <v>34526</v>
      </c>
      <c r="Q180" s="101">
        <f t="shared" si="102"/>
        <v>699965474</v>
      </c>
      <c r="R180" s="26">
        <f t="shared" si="63"/>
        <v>0.99995067714285713</v>
      </c>
      <c r="S180" s="101">
        <f t="shared" si="102"/>
        <v>422420279.57999998</v>
      </c>
      <c r="T180" s="102">
        <f t="shared" si="102"/>
        <v>422420279.57999998</v>
      </c>
    </row>
    <row r="181" spans="1:20" ht="44.25" customHeight="1" x14ac:dyDescent="0.25">
      <c r="A181" s="94" t="s">
        <v>18</v>
      </c>
      <c r="B181" s="56" t="s">
        <v>97</v>
      </c>
      <c r="C181" s="56" t="s">
        <v>91</v>
      </c>
      <c r="D181" s="56" t="s">
        <v>100</v>
      </c>
      <c r="E181" s="56" t="s">
        <v>155</v>
      </c>
      <c r="F181" s="56" t="s">
        <v>181</v>
      </c>
      <c r="G181" s="23" t="s">
        <v>213</v>
      </c>
      <c r="H181" s="56" t="s">
        <v>5</v>
      </c>
      <c r="I181" s="57">
        <v>10</v>
      </c>
      <c r="J181" s="58">
        <v>700000000</v>
      </c>
      <c r="K181" s="44">
        <v>0</v>
      </c>
      <c r="L181" s="44">
        <v>0</v>
      </c>
      <c r="M181" s="44">
        <f t="shared" si="93"/>
        <v>700000000</v>
      </c>
      <c r="N181" s="115"/>
      <c r="O181" s="44">
        <v>699965474</v>
      </c>
      <c r="P181" s="27">
        <f t="shared" si="94"/>
        <v>34526</v>
      </c>
      <c r="Q181" s="58">
        <v>699965474</v>
      </c>
      <c r="R181" s="25">
        <f t="shared" si="63"/>
        <v>0.99995067714285713</v>
      </c>
      <c r="S181" s="58">
        <v>422420279.57999998</v>
      </c>
      <c r="T181" s="59">
        <v>422420279.57999998</v>
      </c>
    </row>
    <row r="182" spans="1:20" ht="44.25" customHeight="1" x14ac:dyDescent="0.25">
      <c r="A182" s="95" t="s">
        <v>18</v>
      </c>
      <c r="B182" s="99" t="s">
        <v>97</v>
      </c>
      <c r="C182" s="11" t="s">
        <v>91</v>
      </c>
      <c r="D182" s="11" t="s">
        <v>101</v>
      </c>
      <c r="E182" s="99"/>
      <c r="F182" s="99"/>
      <c r="G182" s="12" t="s">
        <v>232</v>
      </c>
      <c r="H182" s="11" t="s">
        <v>5</v>
      </c>
      <c r="I182" s="13">
        <v>10</v>
      </c>
      <c r="J182" s="101">
        <f>J183</f>
        <v>4700774679</v>
      </c>
      <c r="K182" s="48">
        <f t="shared" ref="K182:T182" si="103">K183</f>
        <v>0</v>
      </c>
      <c r="L182" s="48">
        <f t="shared" si="103"/>
        <v>314148869</v>
      </c>
      <c r="M182" s="48">
        <f>M183</f>
        <v>4386625810</v>
      </c>
      <c r="N182" s="48">
        <f t="shared" si="103"/>
        <v>0</v>
      </c>
      <c r="O182" s="48">
        <f>O183</f>
        <v>4263584916.52</v>
      </c>
      <c r="P182" s="24">
        <f>P183</f>
        <v>123040893.48000002</v>
      </c>
      <c r="Q182" s="101">
        <f t="shared" si="103"/>
        <v>4263584916.52</v>
      </c>
      <c r="R182" s="26">
        <f t="shared" si="63"/>
        <v>0.97195090285578745</v>
      </c>
      <c r="S182" s="101">
        <f t="shared" si="103"/>
        <v>191543091.62</v>
      </c>
      <c r="T182" s="102">
        <f t="shared" si="103"/>
        <v>191543091.62</v>
      </c>
    </row>
    <row r="183" spans="1:20" ht="42" customHeight="1" x14ac:dyDescent="0.25">
      <c r="A183" s="94" t="s">
        <v>18</v>
      </c>
      <c r="B183" s="56" t="s">
        <v>97</v>
      </c>
      <c r="C183" s="7" t="s">
        <v>91</v>
      </c>
      <c r="D183" s="7" t="s">
        <v>101</v>
      </c>
      <c r="E183" s="7" t="s">
        <v>151</v>
      </c>
      <c r="F183" s="7" t="s">
        <v>181</v>
      </c>
      <c r="G183" s="23" t="s">
        <v>214</v>
      </c>
      <c r="H183" s="7" t="s">
        <v>5</v>
      </c>
      <c r="I183" s="8">
        <v>10</v>
      </c>
      <c r="J183" s="9">
        <v>4700774679</v>
      </c>
      <c r="K183" s="27">
        <v>0</v>
      </c>
      <c r="L183" s="27">
        <v>314148869</v>
      </c>
      <c r="M183" s="44">
        <f t="shared" si="93"/>
        <v>4386625810</v>
      </c>
      <c r="N183" s="27">
        <v>0</v>
      </c>
      <c r="O183" s="27">
        <v>4263584916.52</v>
      </c>
      <c r="P183" s="27">
        <f t="shared" si="94"/>
        <v>123040893.48000002</v>
      </c>
      <c r="Q183" s="9">
        <v>4263584916.52</v>
      </c>
      <c r="R183" s="25">
        <f t="shared" si="63"/>
        <v>0.97195090285578745</v>
      </c>
      <c r="S183" s="9">
        <v>191543091.62</v>
      </c>
      <c r="T183" s="10">
        <v>191543091.62</v>
      </c>
    </row>
    <row r="184" spans="1:20" ht="42" customHeight="1" x14ac:dyDescent="0.25">
      <c r="A184" s="95" t="s">
        <v>18</v>
      </c>
      <c r="B184" s="99" t="s">
        <v>97</v>
      </c>
      <c r="C184" s="11" t="s">
        <v>91</v>
      </c>
      <c r="D184" s="11" t="s">
        <v>102</v>
      </c>
      <c r="E184" s="11"/>
      <c r="F184" s="11"/>
      <c r="G184" s="12" t="s">
        <v>233</v>
      </c>
      <c r="H184" s="11" t="s">
        <v>5</v>
      </c>
      <c r="I184" s="13">
        <v>10</v>
      </c>
      <c r="J184" s="14">
        <f>J185+J186</f>
        <v>500000000</v>
      </c>
      <c r="K184" s="24">
        <f t="shared" ref="K184:T184" si="104">K185+K186</f>
        <v>50813822</v>
      </c>
      <c r="L184" s="112">
        <f>L185+L186</f>
        <v>50813822</v>
      </c>
      <c r="M184" s="48">
        <f>M185+M186</f>
        <v>500000000</v>
      </c>
      <c r="N184" s="24">
        <f t="shared" si="104"/>
        <v>0</v>
      </c>
      <c r="O184" s="24">
        <f t="shared" si="104"/>
        <v>492707097</v>
      </c>
      <c r="P184" s="24">
        <f>P185+P186</f>
        <v>7292903</v>
      </c>
      <c r="Q184" s="14">
        <f t="shared" si="104"/>
        <v>492707097</v>
      </c>
      <c r="R184" s="26">
        <f t="shared" si="63"/>
        <v>0.98541419399999997</v>
      </c>
      <c r="S184" s="14">
        <f t="shared" si="104"/>
        <v>392396956</v>
      </c>
      <c r="T184" s="22">
        <f t="shared" si="104"/>
        <v>392396956</v>
      </c>
    </row>
    <row r="185" spans="1:20" ht="39" customHeight="1" x14ac:dyDescent="0.25">
      <c r="A185" s="94" t="s">
        <v>18</v>
      </c>
      <c r="B185" s="56" t="s">
        <v>97</v>
      </c>
      <c r="C185" s="7" t="s">
        <v>91</v>
      </c>
      <c r="D185" s="7" t="s">
        <v>102</v>
      </c>
      <c r="E185" s="7" t="s">
        <v>155</v>
      </c>
      <c r="F185" s="7" t="s">
        <v>184</v>
      </c>
      <c r="G185" s="23" t="s">
        <v>215</v>
      </c>
      <c r="H185" s="7" t="s">
        <v>5</v>
      </c>
      <c r="I185" s="8">
        <v>10</v>
      </c>
      <c r="J185" s="9">
        <v>180000000</v>
      </c>
      <c r="K185" s="27">
        <f>2229387+5592823</f>
        <v>7822210</v>
      </c>
      <c r="L185" s="27">
        <v>42991612</v>
      </c>
      <c r="M185" s="44">
        <f t="shared" si="93"/>
        <v>144830598</v>
      </c>
      <c r="N185" s="27">
        <v>0</v>
      </c>
      <c r="O185" s="27">
        <v>144830353</v>
      </c>
      <c r="P185" s="27">
        <f>+M185-O185-N185</f>
        <v>245</v>
      </c>
      <c r="Q185" s="9">
        <v>144830353</v>
      </c>
      <c r="R185" s="25">
        <f t="shared" si="63"/>
        <v>0.999998308368512</v>
      </c>
      <c r="S185" s="9">
        <v>132463059</v>
      </c>
      <c r="T185" s="10">
        <v>132463059</v>
      </c>
    </row>
    <row r="186" spans="1:20" ht="39" customHeight="1" x14ac:dyDescent="0.25">
      <c r="A186" s="94" t="s">
        <v>18</v>
      </c>
      <c r="B186" s="56" t="s">
        <v>97</v>
      </c>
      <c r="C186" s="7" t="s">
        <v>91</v>
      </c>
      <c r="D186" s="7" t="s">
        <v>102</v>
      </c>
      <c r="E186" s="7" t="s">
        <v>155</v>
      </c>
      <c r="F186" s="7" t="s">
        <v>181</v>
      </c>
      <c r="G186" s="23" t="s">
        <v>216</v>
      </c>
      <c r="H186" s="7" t="s">
        <v>5</v>
      </c>
      <c r="I186" s="8">
        <v>10</v>
      </c>
      <c r="J186" s="9">
        <v>320000000</v>
      </c>
      <c r="K186" s="27">
        <v>42991612</v>
      </c>
      <c r="L186" s="27">
        <f>2229387+5592823</f>
        <v>7822210</v>
      </c>
      <c r="M186" s="44">
        <f t="shared" si="93"/>
        <v>355169402</v>
      </c>
      <c r="N186" s="27">
        <v>0</v>
      </c>
      <c r="O186" s="27">
        <v>347876744</v>
      </c>
      <c r="P186" s="27">
        <f>+M186-O186-N186</f>
        <v>7292658</v>
      </c>
      <c r="Q186" s="9">
        <v>347876744</v>
      </c>
      <c r="R186" s="25">
        <f t="shared" si="63"/>
        <v>0.97946709947722355</v>
      </c>
      <c r="S186" s="9">
        <v>259933897</v>
      </c>
      <c r="T186" s="10">
        <v>259933897</v>
      </c>
    </row>
    <row r="187" spans="1:20" ht="39" customHeight="1" x14ac:dyDescent="0.25">
      <c r="A187" s="95" t="s">
        <v>18</v>
      </c>
      <c r="B187" s="11" t="s">
        <v>97</v>
      </c>
      <c r="C187" s="11" t="s">
        <v>91</v>
      </c>
      <c r="D187" s="11">
        <v>24</v>
      </c>
      <c r="E187" s="11"/>
      <c r="F187" s="11"/>
      <c r="G187" s="12" t="s">
        <v>234</v>
      </c>
      <c r="H187" s="11" t="s">
        <v>5</v>
      </c>
      <c r="I187" s="13">
        <v>10</v>
      </c>
      <c r="J187" s="14">
        <f>J188</f>
        <v>4397847000</v>
      </c>
      <c r="K187" s="24">
        <f t="shared" ref="K187:T187" si="105">K188</f>
        <v>0</v>
      </c>
      <c r="L187" s="24">
        <f t="shared" si="105"/>
        <v>4397847000</v>
      </c>
      <c r="M187" s="48">
        <f>M188</f>
        <v>0</v>
      </c>
      <c r="N187" s="24">
        <f t="shared" si="105"/>
        <v>0</v>
      </c>
      <c r="O187" s="24">
        <f t="shared" si="105"/>
        <v>0</v>
      </c>
      <c r="P187" s="24">
        <f>P188</f>
        <v>0</v>
      </c>
      <c r="Q187" s="14">
        <f t="shared" si="105"/>
        <v>0</v>
      </c>
      <c r="R187" s="26">
        <f t="shared" si="63"/>
        <v>0</v>
      </c>
      <c r="S187" s="14">
        <f t="shared" si="105"/>
        <v>0</v>
      </c>
      <c r="T187" s="22">
        <f t="shared" si="105"/>
        <v>0</v>
      </c>
    </row>
    <row r="188" spans="1:20" ht="32.25" customHeight="1" x14ac:dyDescent="0.25">
      <c r="A188" s="94" t="s">
        <v>18</v>
      </c>
      <c r="B188" s="7" t="s">
        <v>97</v>
      </c>
      <c r="C188" s="7" t="s">
        <v>91</v>
      </c>
      <c r="D188" s="7">
        <v>24</v>
      </c>
      <c r="E188" s="7" t="s">
        <v>151</v>
      </c>
      <c r="F188" s="7" t="s">
        <v>179</v>
      </c>
      <c r="G188" s="23" t="s">
        <v>217</v>
      </c>
      <c r="H188" s="7" t="s">
        <v>5</v>
      </c>
      <c r="I188" s="8">
        <v>10</v>
      </c>
      <c r="J188" s="9">
        <v>4397847000</v>
      </c>
      <c r="K188" s="27">
        <v>0</v>
      </c>
      <c r="L188" s="27">
        <v>4397847000</v>
      </c>
      <c r="M188" s="44">
        <f t="shared" si="93"/>
        <v>0</v>
      </c>
      <c r="N188" s="27">
        <v>0</v>
      </c>
      <c r="O188" s="27">
        <v>0</v>
      </c>
      <c r="P188" s="27">
        <f>+M188-O188-N188</f>
        <v>0</v>
      </c>
      <c r="Q188" s="9">
        <v>0</v>
      </c>
      <c r="R188" s="25">
        <f t="shared" si="63"/>
        <v>0</v>
      </c>
      <c r="S188" s="9">
        <v>0</v>
      </c>
      <c r="T188" s="10">
        <v>0</v>
      </c>
    </row>
    <row r="189" spans="1:20" ht="16.5" customHeight="1" x14ac:dyDescent="0.25">
      <c r="A189" s="81" t="s">
        <v>18</v>
      </c>
      <c r="B189" s="81"/>
      <c r="C189" s="81"/>
      <c r="D189" s="81"/>
      <c r="E189" s="81"/>
      <c r="F189" s="81"/>
      <c r="G189" s="82" t="s">
        <v>19</v>
      </c>
      <c r="H189" s="81" t="s">
        <v>5</v>
      </c>
      <c r="I189" s="83">
        <v>10</v>
      </c>
      <c r="J189" s="64">
        <f t="shared" ref="J189:T189" si="106">J125+J162</f>
        <v>80670115679</v>
      </c>
      <c r="K189" s="64">
        <f t="shared" si="106"/>
        <v>3598249429</v>
      </c>
      <c r="L189" s="64">
        <f t="shared" si="106"/>
        <v>16660297454</v>
      </c>
      <c r="M189" s="64">
        <f t="shared" si="106"/>
        <v>67608067654</v>
      </c>
      <c r="N189" s="3">
        <f t="shared" si="106"/>
        <v>0</v>
      </c>
      <c r="O189" s="64">
        <f>O125+O162</f>
        <v>67129112871.57</v>
      </c>
      <c r="P189" s="64">
        <f>P125+P162</f>
        <v>478954782.43000096</v>
      </c>
      <c r="Q189" s="64">
        <f>Q125+Q162</f>
        <v>67129112871.57</v>
      </c>
      <c r="R189" s="76">
        <f>IF(Q189&gt;1,Q189/(M189-N189),0)</f>
        <v>0.992915715549198</v>
      </c>
      <c r="S189" s="64">
        <f t="shared" si="106"/>
        <v>25686456501</v>
      </c>
      <c r="T189" s="73">
        <f t="shared" si="106"/>
        <v>25686456501</v>
      </c>
    </row>
    <row r="190" spans="1:20" ht="16.5" customHeight="1" x14ac:dyDescent="0.25">
      <c r="A190" s="81" t="s">
        <v>18</v>
      </c>
      <c r="B190" s="81"/>
      <c r="C190" s="81"/>
      <c r="D190" s="81"/>
      <c r="E190" s="81"/>
      <c r="F190" s="81"/>
      <c r="G190" s="82" t="s">
        <v>19</v>
      </c>
      <c r="H190" s="81" t="s">
        <v>5</v>
      </c>
      <c r="I190" s="83">
        <v>11</v>
      </c>
      <c r="J190" s="64">
        <f t="shared" ref="J190:Q191" si="107">J126</f>
        <v>9015000000</v>
      </c>
      <c r="K190" s="64">
        <f t="shared" si="107"/>
        <v>0</v>
      </c>
      <c r="L190" s="64">
        <f t="shared" si="107"/>
        <v>170206055</v>
      </c>
      <c r="M190" s="64">
        <f t="shared" si="107"/>
        <v>8844793945</v>
      </c>
      <c r="N190" s="3">
        <f t="shared" si="107"/>
        <v>0</v>
      </c>
      <c r="O190" s="64">
        <f>O126</f>
        <v>8841097116.8400002</v>
      </c>
      <c r="P190" s="64">
        <f t="shared" si="107"/>
        <v>3696828.1599998474</v>
      </c>
      <c r="Q190" s="64">
        <f>Q126</f>
        <v>8841097116.8400002</v>
      </c>
      <c r="R190" s="76">
        <f t="shared" ref="R190:R194" si="108">IF(Q190&gt;1,Q190/(M190-N190),0)</f>
        <v>0.99958203343311469</v>
      </c>
      <c r="S190" s="64">
        <f t="shared" ref="S190:T190" si="109">S126</f>
        <v>2116386881.51</v>
      </c>
      <c r="T190" s="73">
        <f t="shared" si="109"/>
        <v>2116386881.51</v>
      </c>
    </row>
    <row r="191" spans="1:20" ht="16.5" customHeight="1" x14ac:dyDescent="0.25">
      <c r="A191" s="81" t="s">
        <v>18</v>
      </c>
      <c r="B191" s="81"/>
      <c r="C191" s="81"/>
      <c r="D191" s="81"/>
      <c r="E191" s="81"/>
      <c r="F191" s="81"/>
      <c r="G191" s="82" t="s">
        <v>19</v>
      </c>
      <c r="H191" s="81" t="s">
        <v>8</v>
      </c>
      <c r="I191" s="83">
        <v>20</v>
      </c>
      <c r="J191" s="64">
        <f t="shared" si="107"/>
        <v>4000000000</v>
      </c>
      <c r="K191" s="64">
        <f t="shared" si="107"/>
        <v>0</v>
      </c>
      <c r="L191" s="64">
        <f t="shared" si="107"/>
        <v>0</v>
      </c>
      <c r="M191" s="64">
        <f t="shared" si="107"/>
        <v>4000000000</v>
      </c>
      <c r="N191" s="3">
        <f t="shared" si="107"/>
        <v>0</v>
      </c>
      <c r="O191" s="64">
        <f t="shared" si="107"/>
        <v>0</v>
      </c>
      <c r="P191" s="64">
        <f t="shared" si="107"/>
        <v>4000000000</v>
      </c>
      <c r="Q191" s="64">
        <f t="shared" si="107"/>
        <v>0</v>
      </c>
      <c r="R191" s="76">
        <f t="shared" si="108"/>
        <v>0</v>
      </c>
      <c r="S191" s="64">
        <f>S127</f>
        <v>0</v>
      </c>
      <c r="T191" s="73">
        <f>T127</f>
        <v>0</v>
      </c>
    </row>
    <row r="192" spans="1:20" ht="15" customHeight="1" x14ac:dyDescent="0.25">
      <c r="A192" s="81" t="s">
        <v>18</v>
      </c>
      <c r="B192" s="81"/>
      <c r="C192" s="81"/>
      <c r="D192" s="81"/>
      <c r="E192" s="81"/>
      <c r="F192" s="81"/>
      <c r="G192" s="82" t="s">
        <v>19</v>
      </c>
      <c r="H192" s="81" t="s">
        <v>8</v>
      </c>
      <c r="I192" s="83">
        <v>21</v>
      </c>
      <c r="J192" s="64">
        <f>J128</f>
        <v>2908160000</v>
      </c>
      <c r="K192" s="64">
        <f>K128</f>
        <v>49560000</v>
      </c>
      <c r="L192" s="64">
        <f>L128</f>
        <v>49560000</v>
      </c>
      <c r="M192" s="64">
        <f>M128</f>
        <v>2908160000</v>
      </c>
      <c r="N192" s="3">
        <v>0</v>
      </c>
      <c r="O192" s="64">
        <f>O128</f>
        <v>2900413694.0999999</v>
      </c>
      <c r="P192" s="64">
        <f>P128</f>
        <v>7746305.9000000954</v>
      </c>
      <c r="Q192" s="64">
        <f>Q128</f>
        <v>2900413694.0999999</v>
      </c>
      <c r="R192" s="76">
        <f t="shared" si="108"/>
        <v>0.99733635498046869</v>
      </c>
      <c r="S192" s="64">
        <f>S128</f>
        <v>2512827076.23</v>
      </c>
      <c r="T192" s="73">
        <f>T128</f>
        <v>2512827076.23</v>
      </c>
    </row>
    <row r="193" spans="1:20" s="5" customFormat="1" ht="13.5" customHeight="1" thickBot="1" x14ac:dyDescent="0.25">
      <c r="A193" s="129" t="s">
        <v>29</v>
      </c>
      <c r="B193" s="130"/>
      <c r="C193" s="130"/>
      <c r="D193" s="130"/>
      <c r="E193" s="130"/>
      <c r="F193" s="130"/>
      <c r="G193" s="130"/>
      <c r="H193" s="130"/>
      <c r="I193" s="131"/>
      <c r="J193" s="40">
        <f>SUM(J189:J192)</f>
        <v>96593275679</v>
      </c>
      <c r="K193" s="40">
        <f t="shared" ref="K193:L193" si="110">SUM(K189:K192)</f>
        <v>3647809429</v>
      </c>
      <c r="L193" s="40">
        <f t="shared" si="110"/>
        <v>16880063509</v>
      </c>
      <c r="M193" s="40">
        <f>SUM(M189:M192)</f>
        <v>83361021599</v>
      </c>
      <c r="N193" s="40">
        <f>SUM(N189:N192)</f>
        <v>0</v>
      </c>
      <c r="O193" s="40">
        <f>SUM(O189:O192)</f>
        <v>78870623682.51001</v>
      </c>
      <c r="P193" s="40">
        <f>SUM(P189:P192)</f>
        <v>4490397916.4900017</v>
      </c>
      <c r="Q193" s="40">
        <f>SUM(Q189:Q192)</f>
        <v>78870623682.51001</v>
      </c>
      <c r="R193" s="42">
        <f>IF(Q193&gt;1,Q193/(M193-N193),0)</f>
        <v>0.94613312276700967</v>
      </c>
      <c r="S193" s="40">
        <f>SUM(S189:S192)</f>
        <v>30315670458.739998</v>
      </c>
      <c r="T193" s="53">
        <f>SUM(T189:T192)</f>
        <v>30315670458.739998</v>
      </c>
    </row>
    <row r="194" spans="1:20" s="15" customFormat="1" ht="11.25" customHeight="1" thickBot="1" x14ac:dyDescent="0.3">
      <c r="A194" s="129" t="s">
        <v>30</v>
      </c>
      <c r="B194" s="130"/>
      <c r="C194" s="130"/>
      <c r="D194" s="130"/>
      <c r="E194" s="130"/>
      <c r="F194" s="130"/>
      <c r="G194" s="130"/>
      <c r="H194" s="130"/>
      <c r="I194" s="130"/>
      <c r="J194" s="80">
        <f t="shared" ref="J194:Q194" si="111">+J193+J123</f>
        <v>430691975679</v>
      </c>
      <c r="K194" s="80">
        <f>+K193+K123</f>
        <v>35908751263.919998</v>
      </c>
      <c r="L194" s="80">
        <f>+L193+L123</f>
        <v>45778946343.919998</v>
      </c>
      <c r="M194" s="80">
        <f t="shared" si="111"/>
        <v>420821780599</v>
      </c>
      <c r="N194" s="79">
        <f t="shared" si="111"/>
        <v>0</v>
      </c>
      <c r="O194" s="40">
        <f t="shared" si="111"/>
        <v>411251112145.22998</v>
      </c>
      <c r="P194" s="40">
        <f>+P193+P123</f>
        <v>9570668453.7700024</v>
      </c>
      <c r="Q194" s="40">
        <f t="shared" si="111"/>
        <v>411251112145.22998</v>
      </c>
      <c r="R194" s="42">
        <f t="shared" si="108"/>
        <v>0.97725719319910898</v>
      </c>
      <c r="S194" s="40">
        <f>+S193+S123</f>
        <v>358474136923.89001</v>
      </c>
      <c r="T194" s="53">
        <f>+T193+T123</f>
        <v>350372554423.89001</v>
      </c>
    </row>
    <row r="195" spans="1:20" s="15" customFormat="1" ht="11.25" customHeight="1" x14ac:dyDescent="0.25">
      <c r="A195" s="118"/>
      <c r="B195" s="118"/>
      <c r="C195" s="118"/>
      <c r="D195" s="118"/>
      <c r="E195" s="118"/>
      <c r="F195" s="118"/>
      <c r="G195" s="118"/>
      <c r="H195" s="118"/>
      <c r="I195" s="118"/>
      <c r="J195" s="119"/>
      <c r="K195" s="119"/>
      <c r="L195" s="119"/>
      <c r="M195" s="119"/>
      <c r="N195" s="119"/>
      <c r="O195" s="119"/>
      <c r="P195" s="105"/>
      <c r="Q195" s="105"/>
      <c r="R195" s="111"/>
      <c r="S195" s="105"/>
      <c r="T195" s="105"/>
    </row>
    <row r="196" spans="1:20" s="15" customFormat="1" ht="6.75" customHeight="1" x14ac:dyDescent="0.25">
      <c r="A196" s="110"/>
      <c r="B196" s="110"/>
      <c r="C196" s="110"/>
      <c r="D196" s="110"/>
      <c r="E196" s="110"/>
      <c r="F196" s="110"/>
      <c r="G196" s="110"/>
      <c r="H196" s="110"/>
      <c r="I196" s="110"/>
      <c r="J196" s="105"/>
      <c r="K196" s="105"/>
      <c r="L196" s="105"/>
      <c r="M196" s="105"/>
      <c r="N196" s="105"/>
      <c r="O196" s="105"/>
      <c r="P196" s="105"/>
      <c r="Q196" s="105"/>
      <c r="R196" s="111"/>
      <c r="S196" s="105"/>
      <c r="T196" s="105"/>
    </row>
    <row r="197" spans="1:20" s="15" customFormat="1" ht="9" customHeight="1" x14ac:dyDescent="0.25">
      <c r="A197" s="15" t="s">
        <v>32</v>
      </c>
      <c r="E197" s="16"/>
      <c r="F197" s="17"/>
      <c r="G197" s="18"/>
      <c r="H197" s="19"/>
      <c r="I197" s="20"/>
      <c r="J197" s="20"/>
      <c r="K197" s="20"/>
      <c r="L197" s="20"/>
      <c r="M197" s="105"/>
      <c r="N197" s="60"/>
      <c r="O197" s="45"/>
      <c r="P197" s="21"/>
      <c r="Q197" s="30"/>
      <c r="R197" s="21"/>
      <c r="S197" s="66"/>
      <c r="T197" s="66"/>
    </row>
    <row r="198" spans="1:20" s="15" customFormat="1" ht="9" customHeight="1" x14ac:dyDescent="0.25">
      <c r="A198" s="15" t="s">
        <v>246</v>
      </c>
      <c r="E198" s="16"/>
      <c r="F198" s="17"/>
      <c r="G198" s="18"/>
      <c r="H198" s="19"/>
      <c r="I198" s="20"/>
      <c r="J198" s="20"/>
      <c r="K198" s="20"/>
      <c r="L198" s="20"/>
      <c r="N198" s="66"/>
      <c r="O198" s="28"/>
      <c r="P198" s="21"/>
      <c r="Q198" s="31"/>
      <c r="R198" s="21"/>
    </row>
    <row r="199" spans="1:20" s="15" customFormat="1" ht="9" customHeight="1" x14ac:dyDescent="0.25">
      <c r="A199" s="15" t="s">
        <v>244</v>
      </c>
      <c r="E199" s="16"/>
      <c r="F199" s="17"/>
      <c r="G199" s="18"/>
      <c r="H199" s="19"/>
      <c r="I199" s="20"/>
      <c r="J199" s="20"/>
      <c r="K199" s="20"/>
      <c r="L199" s="113"/>
      <c r="M199" s="66"/>
      <c r="N199" s="21"/>
      <c r="O199" s="67"/>
      <c r="P199" s="21"/>
      <c r="Q199" s="31"/>
      <c r="R199" s="21"/>
    </row>
    <row r="200" spans="1:20" x14ac:dyDescent="0.25">
      <c r="A200" s="15" t="s">
        <v>250</v>
      </c>
      <c r="B200" s="15"/>
      <c r="C200" s="15"/>
      <c r="D200" s="15"/>
      <c r="E200" s="16"/>
      <c r="F200" s="17"/>
      <c r="G200" s="18"/>
      <c r="H200" s="19"/>
      <c r="I200" s="20"/>
      <c r="J200" s="20"/>
      <c r="K200" s="20"/>
      <c r="L200" s="20"/>
      <c r="M200" s="66"/>
      <c r="N200" s="66"/>
      <c r="O200" s="28"/>
      <c r="P200" s="21"/>
      <c r="Q200" s="31"/>
      <c r="R200" s="21"/>
      <c r="S200" s="15"/>
      <c r="T200" s="15"/>
    </row>
    <row r="201" spans="1:20" x14ac:dyDescent="0.25">
      <c r="L201" s="114"/>
    </row>
  </sheetData>
  <mergeCells count="14">
    <mergeCell ref="A195:O195"/>
    <mergeCell ref="A2:T2"/>
    <mergeCell ref="A1:F1"/>
    <mergeCell ref="A124:T124"/>
    <mergeCell ref="A193:I193"/>
    <mergeCell ref="A194:I194"/>
    <mergeCell ref="A34:I34"/>
    <mergeCell ref="A35:T35"/>
    <mergeCell ref="A92:I92"/>
    <mergeCell ref="A93:T93"/>
    <mergeCell ref="A118:I118"/>
    <mergeCell ref="A123:I123"/>
    <mergeCell ref="A107:T107"/>
    <mergeCell ref="A106:I106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DICIEMBRE 31-2024
&amp;R
Página &amp;P de &amp;N</oddHeader>
  </headerFooter>
  <ignoredErrors>
    <ignoredError sqref="N52:N57 P101 N23:N31 F116 H116:I116 C33:I33 Q33 G23:I26 H27:I27 G28:I31 H52:I53 H55:I57 C18:D18 C19:E26 C3:E4 I4 C44:I45 C103:F103 C36 C5:F17 C27:F32 M90:O90 N99:Q99 M92:Q92 P115 N115 M109:Q109 M108 M110:O110 M113:O114 C104 Q110 S91:T92 S97:T100 S106:T106 S113:T114 S108:T110 O108 Q94 B3:B33 B108:E117 Q113:Q114 I65:I71 B97:B105 F104 H104 B94:I95 N94 S94:T94 C105:I105 N106:O106 N33:O34 B96:E96 S33:T34 F108:I115 C97:I102 C89:I91 B171:E171 E174 B185:E185 B186:D186 B158:F161 B188:F188 B174:D175 N91:Q91 B162:E162 E165:F165 B167:F167 E169:F169 B172:D172 F171:F172 F174:F175 B183:F183 F185:F186 B157:C157 B163:D166 B168:D170 B173:L173 B176:L176 B177:K177 B178:L178 B184:D184 B187:C187 N173:O173 N176:O176 C85:F88 B85:B91 I85:I88 B72:I72 I58:I62 B63:I64 B65:F71 C37:F40 B36:B47 C46:F47 B49:F62 B180:L180 B179:J179 L179 N98:O98 Q97:Q98 N100:O100 Q100 Q108 Q106 C41:F43 I73:I84 B73:F84 B182:L182 B181:K181 B48:F48" numberStoredAsText="1"/>
    <ignoredError sqref="M18:N18 R3:R4 R18 R26 R36 R44:R46 R89 R101:R103 R116:R118 R191:R192 N117 P26 P18 P103 M26 M100 M103 M157:P157 J163:M163 M166:P166 M184:P184 M187:P187 R33:R34 M131:P131 M153:P153 M133 P130 R120:R122 A119:K119 A152:A153 A150:A151 G151:J151 A131 A130 G130:K130 A133 A132 G132:K132 A137:A139 A134:A136 G136:N136 A143 A140:A142 G140:N140 A147:A149 A144:A146 G146:K146 A154:A156 G156:K156 A129 E129:L129 E131:L131 E133:F133 E137:L137 G148:T148 G152:K152 A123:T124 A121:Q122 S120:T122 M130:N130 R130 N133:P133 Q133:T133 H153:L153 Q153:T153 Q131:T131 R157 R162:R164 R166:R170 R173 R176:R182 R184 R187 R189 R108 R110 H133:L133 E143:P143 H154:K154 P136 P141 P146 G149:K149 R149 P152 P156 P154 M165 M183:N183 P182:P183 R132 P134 R134 P140 R140 P144 R144 R152 G134:K134 M134:N134 G135:J135 L135:N135 M154 G155:J155 M155 G144:J144 L144:N144 G145:K145 M145:N145 M146:N146 M168:P168 L167:M167 P167 P135 R135 P155 R155 A128:F128 A126:F126 H126:I126 A127:F127 H127:L127 H128:L128 P132 R136 P142 R142 P145 R145 P151 R151 N163:P163 G147:K147 Q147:T147 M170:P170 M169:N169 P169 R141 R146 R150 R156 R154 R194 S163:T163 P110 N129:O129 Q129:T129 N149 G150:J150 N150 N147 M132 E139:O139 Q139:T139 Q119:R119 A120:O120 Q120 A125:I125 R125 Q163 E138:K138 Q138:T138 Q143:T143 M125:N125 Q126:T126 Q137:T137 G142:N142 G141:K141 M141:N141 N138:O138 Q127:T127 K125:L125 N126:O126 K126:L126 N127:O127 L151:N151 M152:N152 M119:O119 M156 N128:T128 N137:O137 M182 P165 R98 P173" formula="1"/>
    <ignoredError sqref="P113:P114 R90:R92 R99:R100 R104:R106 N108 P97 R94:R95 R112:R115 M181 N182 M179:N179 M180:P180 M178:P178 M173 P176:P177 M176:M177 B152:F153 B147:F149 B137:D139 B133:D133 B131:D131 B129:D129 B154:F156 B144:F146 B140:F142 B134:F136 B132:F132 B130:F130 B150:F151 R109 B143:D143 P181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31-2024</vt:lpstr>
      <vt:lpstr>'DICIEMBRE 31-2024'!Área_de_impresión</vt:lpstr>
      <vt:lpstr>'DICIEMBRE 31-2024'!Títulos_a_imprimir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Acuña Reyes</cp:lastModifiedBy>
  <cp:lastPrinted>2025-01-23T21:16:33Z</cp:lastPrinted>
  <dcterms:created xsi:type="dcterms:W3CDTF">2016-02-01T15:56:25Z</dcterms:created>
  <dcterms:modified xsi:type="dcterms:W3CDTF">2025-01-23T21:18:11Z</dcterms:modified>
</cp:coreProperties>
</file>