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cesar_acuna_medicinalegal_gov_co/Documents/DERECHO PETICION CONTRALORIA.zip (Unzipped Files)/Escritorio/CESAR EQUIPO OF MAYO 8/2026/Mayo/"/>
    </mc:Choice>
  </mc:AlternateContent>
  <xr:revisionPtr revIDLastSave="0" documentId="8_{EC502432-55D0-47FA-B97B-E17B89169F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YO 31-2026" sheetId="11" r:id="rId1"/>
  </sheets>
  <externalReferences>
    <externalReference r:id="rId2"/>
    <externalReference r:id="rId3"/>
  </externalReferences>
  <definedNames>
    <definedName name="_xlnm._FilterDatabase" localSheetId="0" hidden="1">'MAYO 31-2026'!$A$1:$IY$168</definedName>
    <definedName name="_xlnm.Print_Area" localSheetId="0">'MAYO 31-2026'!$A$1:$T$173</definedName>
    <definedName name="_xlnm.Print_Titles" localSheetId="0">'MAYO 31-2026'!$1:$1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66" i="11" l="1"/>
  <c r="L64" i="11"/>
  <c r="K62" i="11"/>
  <c r="M62" i="11" s="1"/>
  <c r="K61" i="11"/>
  <c r="K60" i="11"/>
  <c r="L54" i="11"/>
  <c r="L76" i="11"/>
  <c r="L60" i="11"/>
  <c r="K81" i="11"/>
  <c r="M81" i="11" s="1"/>
  <c r="N81" i="11" s="1"/>
  <c r="K58" i="11"/>
  <c r="K57" i="11"/>
  <c r="K56" i="11"/>
  <c r="K55" i="11"/>
  <c r="L52" i="11"/>
  <c r="K41" i="11"/>
  <c r="L38" i="11"/>
  <c r="L80" i="11"/>
  <c r="K67" i="11"/>
  <c r="K64" i="11"/>
  <c r="K63" i="11"/>
  <c r="K82" i="11"/>
  <c r="L37" i="11"/>
  <c r="L63" i="11"/>
  <c r="L58" i="11"/>
  <c r="L56" i="11"/>
  <c r="L55" i="11"/>
  <c r="L43" i="11"/>
  <c r="L65" i="11"/>
  <c r="K42" i="11"/>
  <c r="K65" i="11"/>
  <c r="L50" i="11"/>
  <c r="K53" i="11"/>
  <c r="L5" i="11"/>
  <c r="O45" i="11" l="1"/>
  <c r="L57" i="11"/>
  <c r="K76" i="11"/>
  <c r="K52" i="11"/>
  <c r="L71" i="11"/>
  <c r="M71" i="11" s="1"/>
  <c r="K37" i="11"/>
  <c r="K36" i="11" s="1"/>
  <c r="Q45" i="11"/>
  <c r="Q36" i="11"/>
  <c r="O36" i="11"/>
  <c r="M142" i="11"/>
  <c r="M140" i="11"/>
  <c r="J45" i="11"/>
  <c r="T45" i="11"/>
  <c r="S45" i="11"/>
  <c r="T36" i="11"/>
  <c r="S36" i="11"/>
  <c r="N36" i="11"/>
  <c r="J36" i="11"/>
  <c r="R44" i="11"/>
  <c r="M44" i="11"/>
  <c r="P44" i="11" s="1"/>
  <c r="K83" i="11"/>
  <c r="L66" i="11"/>
  <c r="L75" i="11"/>
  <c r="K50" i="11"/>
  <c r="K80" i="11"/>
  <c r="M65" i="11"/>
  <c r="P65" i="11" s="1"/>
  <c r="M42" i="11"/>
  <c r="P42" i="11" s="1"/>
  <c r="M64" i="11"/>
  <c r="R65" i="11"/>
  <c r="Q154" i="11"/>
  <c r="L74" i="11"/>
  <c r="R51" i="11"/>
  <c r="M51" i="11"/>
  <c r="P51" i="11" s="1"/>
  <c r="R48" i="11"/>
  <c r="M48" i="11"/>
  <c r="P48" i="11" s="1"/>
  <c r="S160" i="11"/>
  <c r="S157" i="11"/>
  <c r="N163" i="11"/>
  <c r="N160" i="11"/>
  <c r="N157" i="11"/>
  <c r="N151" i="11"/>
  <c r="N148" i="11"/>
  <c r="N146" i="11"/>
  <c r="N135" i="11"/>
  <c r="N126" i="11"/>
  <c r="N124" i="11"/>
  <c r="N120" i="11"/>
  <c r="N118" i="11"/>
  <c r="N94" i="11"/>
  <c r="N90" i="11"/>
  <c r="N89" i="11" s="1"/>
  <c r="N46" i="11"/>
  <c r="N86" i="11" s="1"/>
  <c r="N18" i="11"/>
  <c r="N4" i="11"/>
  <c r="N64" i="11" l="1"/>
  <c r="P64" i="11" s="1"/>
  <c r="R42" i="11"/>
  <c r="L36" i="11"/>
  <c r="J85" i="11"/>
  <c r="N3" i="11"/>
  <c r="N33" i="11" s="1"/>
  <c r="N34" i="11" s="1"/>
  <c r="N97" i="11" l="1"/>
  <c r="T46" i="11"/>
  <c r="S46" i="11"/>
  <c r="Q46" i="11"/>
  <c r="O46" i="11"/>
  <c r="L46" i="11"/>
  <c r="K46" i="11"/>
  <c r="J46" i="11"/>
  <c r="M80" i="11" l="1"/>
  <c r="L78" i="11"/>
  <c r="L45" i="11" s="1"/>
  <c r="K75" i="11"/>
  <c r="K45" i="11" s="1"/>
  <c r="J160" i="11"/>
  <c r="J163" i="11"/>
  <c r="T154" i="11"/>
  <c r="S154" i="11"/>
  <c r="O154" i="11"/>
  <c r="Q160" i="11"/>
  <c r="O160" i="11"/>
  <c r="Q163" i="11"/>
  <c r="R163" i="11" s="1"/>
  <c r="T160" i="11"/>
  <c r="L160" i="11"/>
  <c r="K160" i="11"/>
  <c r="R64" i="11"/>
  <c r="R63" i="11"/>
  <c r="R62" i="11"/>
  <c r="R61" i="11"/>
  <c r="M63" i="11"/>
  <c r="P63" i="11" s="1"/>
  <c r="M5" i="11"/>
  <c r="T163" i="11"/>
  <c r="S163" i="11"/>
  <c r="O163" i="11"/>
  <c r="L163" i="11"/>
  <c r="K163" i="11"/>
  <c r="J118" i="11"/>
  <c r="J131" i="11"/>
  <c r="J117" i="11" s="1"/>
  <c r="J166" i="11" s="1"/>
  <c r="J157" i="11"/>
  <c r="J154" i="11"/>
  <c r="J151" i="11"/>
  <c r="J148" i="11"/>
  <c r="J146" i="11"/>
  <c r="J139" i="11"/>
  <c r="J135" i="11"/>
  <c r="J130" i="11"/>
  <c r="J126" i="11"/>
  <c r="J120" i="11"/>
  <c r="K118" i="11"/>
  <c r="N154" i="11"/>
  <c r="N145" i="11" s="1"/>
  <c r="N144" i="11" s="1"/>
  <c r="L154" i="11"/>
  <c r="K154" i="11"/>
  <c r="M155" i="11"/>
  <c r="R155" i="11" s="1"/>
  <c r="J4" i="11"/>
  <c r="M79" i="11"/>
  <c r="R79" i="11" s="1"/>
  <c r="O151" i="11"/>
  <c r="O148" i="11"/>
  <c r="O146" i="11"/>
  <c r="M53" i="11"/>
  <c r="N53" i="11" s="1"/>
  <c r="R49" i="11"/>
  <c r="M47" i="11"/>
  <c r="M49" i="11"/>
  <c r="P49" i="11" s="1"/>
  <c r="N62" i="11" l="1"/>
  <c r="P62" i="11" s="1"/>
  <c r="J145" i="11"/>
  <c r="J144" i="11" s="1"/>
  <c r="P155" i="11"/>
  <c r="P79" i="11"/>
  <c r="T130" i="11"/>
  <c r="S130" i="11"/>
  <c r="Q130" i="11"/>
  <c r="O130" i="11"/>
  <c r="N130" i="11"/>
  <c r="L130" i="11"/>
  <c r="K130" i="11"/>
  <c r="J102" i="11"/>
  <c r="J100" i="11" s="1"/>
  <c r="T131" i="11"/>
  <c r="T117" i="11" s="1"/>
  <c r="S131" i="11"/>
  <c r="S117" i="11" s="1"/>
  <c r="Q131" i="11"/>
  <c r="O131" i="11"/>
  <c r="O117" i="11" s="1"/>
  <c r="N131" i="11"/>
  <c r="N117" i="11" s="1"/>
  <c r="L131" i="11"/>
  <c r="L117" i="11" s="1"/>
  <c r="K131" i="11"/>
  <c r="K117" i="11" s="1"/>
  <c r="T90" i="11"/>
  <c r="S90" i="11"/>
  <c r="Q90" i="11"/>
  <c r="O90" i="11"/>
  <c r="L90" i="11"/>
  <c r="K90" i="11"/>
  <c r="J90" i="11"/>
  <c r="J89" i="11" s="1"/>
  <c r="Q148" i="11"/>
  <c r="M162" i="11"/>
  <c r="M161" i="11"/>
  <c r="L157" i="11"/>
  <c r="K157" i="11"/>
  <c r="M107" i="11"/>
  <c r="M104" i="11"/>
  <c r="P104" i="11" s="1"/>
  <c r="M103" i="11"/>
  <c r="P103" i="11" s="1"/>
  <c r="M119" i="11"/>
  <c r="M118" i="11" s="1"/>
  <c r="L102" i="11"/>
  <c r="P161" i="11" l="1"/>
  <c r="M160" i="11"/>
  <c r="R160" i="11" s="1"/>
  <c r="P162" i="11"/>
  <c r="R162" i="11"/>
  <c r="Q117" i="11"/>
  <c r="R161" i="11"/>
  <c r="M59" i="11"/>
  <c r="P160" i="11" l="1"/>
  <c r="M132" i="11"/>
  <c r="M133" i="11"/>
  <c r="P133" i="11" s="1"/>
  <c r="M130" i="11" l="1"/>
  <c r="R130" i="11" s="1"/>
  <c r="P132" i="11"/>
  <c r="P130" i="11" s="1"/>
  <c r="J94" i="11" l="1"/>
  <c r="M83" i="11" l="1"/>
  <c r="M76" i="11"/>
  <c r="N76" i="11" s="1"/>
  <c r="M40" i="11"/>
  <c r="M78" i="11"/>
  <c r="M58" i="11" l="1"/>
  <c r="P58" i="11" s="1"/>
  <c r="M67" i="11"/>
  <c r="P67" i="11" s="1"/>
  <c r="M68" i="11"/>
  <c r="M69" i="11"/>
  <c r="M57" i="11" l="1"/>
  <c r="M50" i="11"/>
  <c r="M52" i="11"/>
  <c r="M54" i="11"/>
  <c r="N54" i="11" s="1"/>
  <c r="M55" i="11"/>
  <c r="M60" i="11"/>
  <c r="N60" i="11" s="1"/>
  <c r="M61" i="11"/>
  <c r="N61" i="11" s="1"/>
  <c r="M66" i="11"/>
  <c r="N66" i="11" s="1"/>
  <c r="M70" i="11"/>
  <c r="M72" i="11"/>
  <c r="M46" i="11" s="1"/>
  <c r="M73" i="11"/>
  <c r="M74" i="11"/>
  <c r="P74" i="11" s="1"/>
  <c r="M75" i="11"/>
  <c r="M77" i="11"/>
  <c r="M82" i="11"/>
  <c r="M84" i="11"/>
  <c r="N45" i="11" l="1"/>
  <c r="N85" i="11" s="1"/>
  <c r="N87" i="11" s="1"/>
  <c r="P75" i="11"/>
  <c r="R75" i="11"/>
  <c r="M56" i="11"/>
  <c r="Q85" i="11" l="1"/>
  <c r="M41" i="11"/>
  <c r="P41" i="11" s="1"/>
  <c r="J93" i="11"/>
  <c r="T26" i="11"/>
  <c r="T18" i="11"/>
  <c r="T4" i="11"/>
  <c r="R41" i="11" l="1"/>
  <c r="J92" i="11"/>
  <c r="K85" i="11"/>
  <c r="M45" i="11"/>
  <c r="S85" i="11"/>
  <c r="T3" i="11"/>
  <c r="J97" i="11" l="1"/>
  <c r="J98" i="11" s="1"/>
  <c r="R45" i="11"/>
  <c r="M6" i="11"/>
  <c r="M7" i="11"/>
  <c r="M8" i="11"/>
  <c r="M9" i="11"/>
  <c r="M10" i="11"/>
  <c r="M11" i="11"/>
  <c r="M12" i="11"/>
  <c r="M13" i="11"/>
  <c r="M14" i="11"/>
  <c r="M15" i="11"/>
  <c r="M16" i="11"/>
  <c r="M17" i="11"/>
  <c r="M19" i="11"/>
  <c r="M20" i="11"/>
  <c r="M21" i="11"/>
  <c r="M22" i="11"/>
  <c r="M23" i="11"/>
  <c r="M24" i="11"/>
  <c r="M25" i="11"/>
  <c r="M27" i="11"/>
  <c r="M28" i="11"/>
  <c r="M29" i="11"/>
  <c r="M30" i="11"/>
  <c r="M31" i="11"/>
  <c r="M32" i="11"/>
  <c r="M37" i="11"/>
  <c r="M38" i="11"/>
  <c r="P40" i="11"/>
  <c r="M43" i="11"/>
  <c r="R164" i="11"/>
  <c r="R138" i="11"/>
  <c r="R136" i="11"/>
  <c r="R132" i="11"/>
  <c r="R129" i="11"/>
  <c r="T157" i="11"/>
  <c r="Q157" i="11"/>
  <c r="O157" i="11"/>
  <c r="O145" i="11" s="1"/>
  <c r="O144" i="11" s="1"/>
  <c r="T151" i="11"/>
  <c r="S151" i="11"/>
  <c r="Q151" i="11"/>
  <c r="L151" i="11"/>
  <c r="K151" i="11"/>
  <c r="T148" i="11"/>
  <c r="S148" i="11"/>
  <c r="L148" i="11"/>
  <c r="K148" i="11"/>
  <c r="T146" i="11"/>
  <c r="S146" i="11"/>
  <c r="Q146" i="11"/>
  <c r="L146" i="11"/>
  <c r="K146" i="11"/>
  <c r="T139" i="11"/>
  <c r="S139" i="11"/>
  <c r="Q139" i="11"/>
  <c r="O139" i="11"/>
  <c r="N139" i="11"/>
  <c r="N116" i="11" s="1"/>
  <c r="L139" i="11"/>
  <c r="K139" i="11"/>
  <c r="K135" i="11"/>
  <c r="T135" i="11"/>
  <c r="S135" i="11"/>
  <c r="Q135" i="11"/>
  <c r="O135" i="11"/>
  <c r="L135" i="11"/>
  <c r="L126" i="11"/>
  <c r="K126" i="11"/>
  <c r="T126" i="11"/>
  <c r="S126" i="11"/>
  <c r="Q126" i="11"/>
  <c r="O126" i="11"/>
  <c r="T124" i="11"/>
  <c r="S124" i="11"/>
  <c r="Q124" i="11"/>
  <c r="O124" i="11"/>
  <c r="L124" i="11"/>
  <c r="K124" i="11"/>
  <c r="J124" i="11"/>
  <c r="J116" i="11" s="1"/>
  <c r="J165" i="11" s="1"/>
  <c r="T120" i="11"/>
  <c r="S120" i="11"/>
  <c r="Q120" i="11"/>
  <c r="O120" i="11"/>
  <c r="L120" i="11"/>
  <c r="K120" i="11"/>
  <c r="T118" i="11"/>
  <c r="S118" i="11"/>
  <c r="Q118" i="11"/>
  <c r="O118" i="11"/>
  <c r="K116" i="11" l="1"/>
  <c r="Q145" i="11"/>
  <c r="Q144" i="11" s="1"/>
  <c r="S145" i="11"/>
  <c r="S144" i="11" s="1"/>
  <c r="T145" i="11"/>
  <c r="T144" i="11" s="1"/>
  <c r="K145" i="11"/>
  <c r="K144" i="11" s="1"/>
  <c r="L145" i="11"/>
  <c r="L144" i="11" s="1"/>
  <c r="M18" i="11"/>
  <c r="M4" i="11"/>
  <c r="M26" i="11"/>
  <c r="T116" i="11"/>
  <c r="O116" i="11"/>
  <c r="Q116" i="11"/>
  <c r="S116" i="11"/>
  <c r="M39" i="11"/>
  <c r="M36" i="11" s="1"/>
  <c r="P50" i="11"/>
  <c r="L118" i="11"/>
  <c r="L116" i="11" s="1"/>
  <c r="M147" i="11"/>
  <c r="M149" i="11"/>
  <c r="R149" i="11" s="1"/>
  <c r="M150" i="11"/>
  <c r="R150" i="11" s="1"/>
  <c r="M152" i="11"/>
  <c r="R152" i="11" s="1"/>
  <c r="M153" i="11"/>
  <c r="R153" i="11" s="1"/>
  <c r="M156" i="11"/>
  <c r="M154" i="11" s="1"/>
  <c r="M158" i="11"/>
  <c r="M159" i="11"/>
  <c r="P159" i="11" s="1"/>
  <c r="M164" i="11"/>
  <c r="M163" i="11" s="1"/>
  <c r="M121" i="11"/>
  <c r="R121" i="11" s="1"/>
  <c r="M122" i="11"/>
  <c r="R122" i="11" s="1"/>
  <c r="M123" i="11"/>
  <c r="R123" i="11" s="1"/>
  <c r="M125" i="11"/>
  <c r="M124" i="11" s="1"/>
  <c r="M127" i="11"/>
  <c r="M128" i="11"/>
  <c r="M129" i="11"/>
  <c r="M134" i="11"/>
  <c r="M136" i="11"/>
  <c r="M137" i="11"/>
  <c r="R137" i="11" s="1"/>
  <c r="M138" i="11"/>
  <c r="M141" i="11"/>
  <c r="R141" i="11" s="1"/>
  <c r="R142" i="11"/>
  <c r="M143" i="11"/>
  <c r="P143" i="11" s="1"/>
  <c r="M91" i="11"/>
  <c r="M95" i="11"/>
  <c r="M96" i="11"/>
  <c r="R59" i="11"/>
  <c r="P82" i="11"/>
  <c r="P43" i="11" l="1"/>
  <c r="M90" i="11"/>
  <c r="R91" i="11"/>
  <c r="M131" i="11"/>
  <c r="R134" i="11"/>
  <c r="P164" i="11"/>
  <c r="P163" i="11" s="1"/>
  <c r="M157" i="11"/>
  <c r="R157" i="11" s="1"/>
  <c r="M139" i="11"/>
  <c r="R139" i="11" s="1"/>
  <c r="R143" i="11"/>
  <c r="R159" i="11"/>
  <c r="R158" i="11"/>
  <c r="P158" i="11"/>
  <c r="O165" i="11"/>
  <c r="R140" i="11"/>
  <c r="M146" i="11"/>
  <c r="P147" i="11"/>
  <c r="P146" i="11" s="1"/>
  <c r="R147" i="11"/>
  <c r="R133" i="11"/>
  <c r="R127" i="11"/>
  <c r="P127" i="11"/>
  <c r="P128" i="11"/>
  <c r="R128" i="11"/>
  <c r="R124" i="11"/>
  <c r="R125" i="11"/>
  <c r="R118" i="11"/>
  <c r="R119" i="11"/>
  <c r="R154" i="11"/>
  <c r="R156" i="11"/>
  <c r="M126" i="11"/>
  <c r="R126" i="11" s="1"/>
  <c r="M135" i="11"/>
  <c r="R135" i="11" s="1"/>
  <c r="M151" i="11"/>
  <c r="R151" i="11" s="1"/>
  <c r="M120" i="11"/>
  <c r="M148" i="11"/>
  <c r="R148" i="11" s="1"/>
  <c r="R37" i="11"/>
  <c r="R5" i="11"/>
  <c r="R103" i="11"/>
  <c r="P134" i="11"/>
  <c r="P131" i="11" s="1"/>
  <c r="P117" i="11" s="1"/>
  <c r="K166" i="11"/>
  <c r="M145" i="11" l="1"/>
  <c r="M144" i="11" s="1"/>
  <c r="M117" i="11"/>
  <c r="R117" i="11" s="1"/>
  <c r="R131" i="11"/>
  <c r="R120" i="11"/>
  <c r="M116" i="11"/>
  <c r="R146" i="11"/>
  <c r="T165" i="11"/>
  <c r="S165" i="11"/>
  <c r="Q165" i="11"/>
  <c r="J86" i="11"/>
  <c r="J113" i="11" s="1"/>
  <c r="T166" i="11"/>
  <c r="S166" i="11"/>
  <c r="Q166" i="11"/>
  <c r="P153" i="11"/>
  <c r="P142" i="11"/>
  <c r="P141" i="11"/>
  <c r="P138" i="11"/>
  <c r="P137" i="11"/>
  <c r="P129" i="11"/>
  <c r="P126" i="11" s="1"/>
  <c r="P123" i="11"/>
  <c r="P122" i="11"/>
  <c r="P37" i="11"/>
  <c r="P38" i="11"/>
  <c r="P52" i="11"/>
  <c r="P53" i="11"/>
  <c r="P54" i="11"/>
  <c r="P55" i="11"/>
  <c r="P56" i="11"/>
  <c r="P57" i="11"/>
  <c r="P59" i="11"/>
  <c r="P60" i="11"/>
  <c r="P61" i="11"/>
  <c r="P66" i="11"/>
  <c r="P68" i="11"/>
  <c r="P69" i="11"/>
  <c r="P70" i="11"/>
  <c r="P71" i="11"/>
  <c r="P72" i="11"/>
  <c r="P46" i="11" s="1"/>
  <c r="P73" i="11"/>
  <c r="P76" i="11"/>
  <c r="P77" i="11"/>
  <c r="P78" i="11"/>
  <c r="P80" i="11"/>
  <c r="P81" i="11"/>
  <c r="P83" i="11"/>
  <c r="P84" i="11"/>
  <c r="P47" i="11"/>
  <c r="P39" i="11"/>
  <c r="L166" i="11"/>
  <c r="L106" i="11"/>
  <c r="L101" i="11" s="1"/>
  <c r="L109" i="11" s="1"/>
  <c r="L112" i="11" s="1"/>
  <c r="K106" i="11"/>
  <c r="K101" i="11" s="1"/>
  <c r="K109" i="11" s="1"/>
  <c r="K112" i="11" s="1"/>
  <c r="L100" i="11"/>
  <c r="L108" i="11" s="1"/>
  <c r="K102" i="11"/>
  <c r="K100" i="11" s="1"/>
  <c r="K108" i="11" s="1"/>
  <c r="L94" i="11"/>
  <c r="L93" i="11" s="1"/>
  <c r="L92" i="11" s="1"/>
  <c r="K94" i="11"/>
  <c r="L89" i="11"/>
  <c r="K89" i="11"/>
  <c r="L86" i="11"/>
  <c r="K86" i="11"/>
  <c r="L85" i="11"/>
  <c r="L26" i="11"/>
  <c r="K26" i="11"/>
  <c r="L18" i="11"/>
  <c r="K18" i="11"/>
  <c r="L4" i="11"/>
  <c r="K4" i="11"/>
  <c r="J106" i="11"/>
  <c r="J105" i="11" s="1"/>
  <c r="J101" i="11" s="1"/>
  <c r="J109" i="11" s="1"/>
  <c r="J112" i="11" s="1"/>
  <c r="J108" i="11"/>
  <c r="J26" i="11"/>
  <c r="J18" i="11"/>
  <c r="O166" i="11"/>
  <c r="P45" i="11" l="1"/>
  <c r="P36" i="11"/>
  <c r="M166" i="11"/>
  <c r="K93" i="11"/>
  <c r="M94" i="11"/>
  <c r="L97" i="11"/>
  <c r="L98" i="11" s="1"/>
  <c r="J3" i="11"/>
  <c r="K113" i="11"/>
  <c r="K87" i="11"/>
  <c r="S167" i="11"/>
  <c r="R116" i="11"/>
  <c r="Q167" i="11"/>
  <c r="L87" i="11"/>
  <c r="L113" i="11"/>
  <c r="J167" i="11"/>
  <c r="P150" i="11"/>
  <c r="L165" i="11"/>
  <c r="L167" i="11" s="1"/>
  <c r="K165" i="11"/>
  <c r="K167" i="11" s="1"/>
  <c r="K110" i="11"/>
  <c r="L110" i="11"/>
  <c r="L3" i="11"/>
  <c r="L33" i="11" s="1"/>
  <c r="L34" i="11" s="1"/>
  <c r="K3" i="11"/>
  <c r="K33" i="11" s="1"/>
  <c r="K34" i="11" s="1"/>
  <c r="N165" i="11"/>
  <c r="J110" i="11"/>
  <c r="J87" i="11"/>
  <c r="R46" i="11"/>
  <c r="O86" i="11"/>
  <c r="M89" i="11"/>
  <c r="P96" i="11"/>
  <c r="S26" i="11"/>
  <c r="Q26" i="11"/>
  <c r="R26" i="11" s="1"/>
  <c r="O26" i="11"/>
  <c r="S18" i="11"/>
  <c r="Q18" i="11"/>
  <c r="O18" i="11"/>
  <c r="S4" i="11"/>
  <c r="Q4" i="11"/>
  <c r="O4" i="11"/>
  <c r="K92" i="11" l="1"/>
  <c r="M93" i="11"/>
  <c r="M3" i="11"/>
  <c r="L111" i="11"/>
  <c r="J33" i="11"/>
  <c r="J34" i="11" s="1"/>
  <c r="O89" i="11"/>
  <c r="O85" i="11"/>
  <c r="P27" i="11"/>
  <c r="R43" i="11"/>
  <c r="M86" i="11"/>
  <c r="M113" i="11" s="1"/>
  <c r="O113" i="11"/>
  <c r="Q86" i="11"/>
  <c r="S86" i="11"/>
  <c r="T86" i="11"/>
  <c r="P149" i="11"/>
  <c r="P148" i="11" s="1"/>
  <c r="P152" i="11"/>
  <c r="P151" i="11" s="1"/>
  <c r="P156" i="11"/>
  <c r="P154" i="11" s="1"/>
  <c r="P157" i="11"/>
  <c r="P121" i="11"/>
  <c r="P120" i="11" s="1"/>
  <c r="P125" i="11"/>
  <c r="P124" i="11" s="1"/>
  <c r="P136" i="11"/>
  <c r="P135" i="11" s="1"/>
  <c r="P140" i="11"/>
  <c r="P139" i="11" s="1"/>
  <c r="P119" i="11"/>
  <c r="P118" i="11" s="1"/>
  <c r="S102" i="11"/>
  <c r="S108" i="11" s="1"/>
  <c r="R47" i="11"/>
  <c r="P91" i="11"/>
  <c r="P90" i="11" s="1"/>
  <c r="T89" i="11"/>
  <c r="S89" i="11"/>
  <c r="Q102" i="11"/>
  <c r="Q108" i="11" s="1"/>
  <c r="Q89" i="11"/>
  <c r="Q94" i="11"/>
  <c r="Q93" i="11" s="1"/>
  <c r="Q92" i="11" s="1"/>
  <c r="R95" i="11"/>
  <c r="O102" i="11"/>
  <c r="O100" i="11" s="1"/>
  <c r="M102" i="11"/>
  <c r="P5" i="11"/>
  <c r="P17" i="11"/>
  <c r="P16" i="11"/>
  <c r="P15" i="11"/>
  <c r="P14" i="11"/>
  <c r="P13" i="11"/>
  <c r="P12" i="11"/>
  <c r="P11" i="11"/>
  <c r="P10" i="11"/>
  <c r="P9" i="11"/>
  <c r="P8" i="11"/>
  <c r="P7" i="11"/>
  <c r="P6" i="11"/>
  <c r="R40" i="11"/>
  <c r="P32" i="11"/>
  <c r="R84" i="11"/>
  <c r="R83" i="11"/>
  <c r="R82" i="11"/>
  <c r="R81" i="11"/>
  <c r="R80" i="11"/>
  <c r="R78" i="11"/>
  <c r="R77" i="11"/>
  <c r="R76" i="11"/>
  <c r="R74" i="11"/>
  <c r="R73" i="11"/>
  <c r="R72" i="11"/>
  <c r="R71" i="11"/>
  <c r="R70" i="11"/>
  <c r="R69" i="11"/>
  <c r="R68" i="11"/>
  <c r="R67" i="11"/>
  <c r="R66" i="11"/>
  <c r="R60" i="11"/>
  <c r="R58" i="11"/>
  <c r="R57" i="11"/>
  <c r="R56" i="11"/>
  <c r="R55" i="11"/>
  <c r="R54" i="11"/>
  <c r="R53" i="11"/>
  <c r="R52" i="11"/>
  <c r="R50" i="11"/>
  <c r="R32" i="11"/>
  <c r="R31" i="11"/>
  <c r="R30" i="11"/>
  <c r="R29" i="11"/>
  <c r="R28" i="11"/>
  <c r="R27" i="11"/>
  <c r="R25" i="11"/>
  <c r="R24" i="11"/>
  <c r="R23" i="11"/>
  <c r="R22" i="11"/>
  <c r="R21" i="11"/>
  <c r="R20" i="11"/>
  <c r="R19" i="11"/>
  <c r="R17" i="11"/>
  <c r="R16" i="11"/>
  <c r="R15" i="11"/>
  <c r="R14" i="11"/>
  <c r="R13" i="11"/>
  <c r="R12" i="11"/>
  <c r="R11" i="11"/>
  <c r="R10" i="11"/>
  <c r="R9" i="11"/>
  <c r="R8" i="11"/>
  <c r="R7" i="11"/>
  <c r="R6" i="11"/>
  <c r="P95" i="11"/>
  <c r="P94" i="11" s="1"/>
  <c r="R107" i="11"/>
  <c r="R104" i="11"/>
  <c r="R96" i="11"/>
  <c r="T102" i="11"/>
  <c r="T100" i="11" s="1"/>
  <c r="O94" i="11"/>
  <c r="O93" i="11" s="1"/>
  <c r="O92" i="11" s="1"/>
  <c r="P19" i="11"/>
  <c r="P20" i="11"/>
  <c r="P21" i="11"/>
  <c r="P22" i="11"/>
  <c r="P23" i="11"/>
  <c r="P24" i="11"/>
  <c r="P25" i="11"/>
  <c r="P28" i="11"/>
  <c r="P29" i="11"/>
  <c r="P30" i="11"/>
  <c r="P31" i="11"/>
  <c r="N102" i="11"/>
  <c r="N106" i="11"/>
  <c r="N105" i="11" s="1"/>
  <c r="N101" i="11" s="1"/>
  <c r="P107" i="11"/>
  <c r="T106" i="11"/>
  <c r="T105" i="11" s="1"/>
  <c r="T101" i="11" s="1"/>
  <c r="T109" i="11" s="1"/>
  <c r="S106" i="11"/>
  <c r="S105" i="11" s="1"/>
  <c r="S101" i="11" s="1"/>
  <c r="S109" i="11" s="1"/>
  <c r="Q106" i="11"/>
  <c r="O106" i="11"/>
  <c r="O105" i="11" s="1"/>
  <c r="O101" i="11" s="1"/>
  <c r="O109" i="11" s="1"/>
  <c r="O112" i="11" s="1"/>
  <c r="M106" i="11"/>
  <c r="M105" i="11" s="1"/>
  <c r="T94" i="11"/>
  <c r="T93" i="11" s="1"/>
  <c r="T92" i="11" s="1"/>
  <c r="S94" i="11"/>
  <c r="S93" i="11" s="1"/>
  <c r="S92" i="11" s="1"/>
  <c r="S97" i="11" s="1"/>
  <c r="R38" i="11"/>
  <c r="R39" i="11"/>
  <c r="Q97" i="11" l="1"/>
  <c r="T97" i="11"/>
  <c r="T98" i="11" s="1"/>
  <c r="O97" i="11"/>
  <c r="O98" i="11" s="1"/>
  <c r="N108" i="11"/>
  <c r="N100" i="11"/>
  <c r="K97" i="11"/>
  <c r="M92" i="11"/>
  <c r="M97" i="11" s="1"/>
  <c r="P145" i="11"/>
  <c r="P144" i="11" s="1"/>
  <c r="J111" i="11"/>
  <c r="P116" i="11"/>
  <c r="P102" i="11"/>
  <c r="R89" i="11"/>
  <c r="P166" i="11"/>
  <c r="L114" i="11"/>
  <c r="L168" i="11" s="1"/>
  <c r="M100" i="11"/>
  <c r="R102" i="11"/>
  <c r="S98" i="11"/>
  <c r="P89" i="11"/>
  <c r="P18" i="11"/>
  <c r="P4" i="11"/>
  <c r="P26" i="11"/>
  <c r="T85" i="11"/>
  <c r="T87" i="11" s="1"/>
  <c r="O108" i="11"/>
  <c r="O110" i="11" s="1"/>
  <c r="P85" i="11"/>
  <c r="R90" i="11"/>
  <c r="R18" i="11"/>
  <c r="N167" i="11"/>
  <c r="O3" i="11"/>
  <c r="O33" i="11" s="1"/>
  <c r="O34" i="11" s="1"/>
  <c r="N109" i="11"/>
  <c r="N112" i="11" s="1"/>
  <c r="P93" i="11"/>
  <c r="P92" i="11" s="1"/>
  <c r="R106" i="11"/>
  <c r="R166" i="11"/>
  <c r="T108" i="11"/>
  <c r="S100" i="11"/>
  <c r="Q100" i="11"/>
  <c r="R94" i="11"/>
  <c r="R36" i="11"/>
  <c r="O87" i="11"/>
  <c r="M85" i="11"/>
  <c r="M87" i="11" s="1"/>
  <c r="T33" i="11"/>
  <c r="S3" i="11"/>
  <c r="S33" i="11" s="1"/>
  <c r="S34" i="11" s="1"/>
  <c r="Q3" i="11"/>
  <c r="M33" i="11"/>
  <c r="M34" i="11" s="1"/>
  <c r="T113" i="11"/>
  <c r="S113" i="11"/>
  <c r="R93" i="11"/>
  <c r="N98" i="11"/>
  <c r="S110" i="11"/>
  <c r="S112" i="11"/>
  <c r="M101" i="11"/>
  <c r="M109" i="11" s="1"/>
  <c r="M112" i="11" s="1"/>
  <c r="P105" i="11"/>
  <c r="P101" i="11" s="1"/>
  <c r="P109" i="11" s="1"/>
  <c r="P112" i="11" s="1"/>
  <c r="T112" i="11"/>
  <c r="Q113" i="11"/>
  <c r="R113" i="11" s="1"/>
  <c r="R86" i="11"/>
  <c r="R4" i="11"/>
  <c r="P106" i="11"/>
  <c r="Q105" i="11"/>
  <c r="P97" i="11" l="1"/>
  <c r="P98" i="11" s="1"/>
  <c r="K98" i="11"/>
  <c r="K111" i="11"/>
  <c r="P165" i="11"/>
  <c r="P167" i="11" s="1"/>
  <c r="P3" i="11"/>
  <c r="P33" i="11" s="1"/>
  <c r="P34" i="11" s="1"/>
  <c r="P100" i="11"/>
  <c r="P108" i="11"/>
  <c r="R92" i="11"/>
  <c r="S87" i="11"/>
  <c r="S111" i="11"/>
  <c r="T34" i="11"/>
  <c r="T111" i="11"/>
  <c r="T114" i="11" s="1"/>
  <c r="R100" i="11"/>
  <c r="J114" i="11"/>
  <c r="M108" i="11"/>
  <c r="R108" i="11" s="1"/>
  <c r="T167" i="11"/>
  <c r="O167" i="11"/>
  <c r="Q87" i="11"/>
  <c r="R87" i="11" s="1"/>
  <c r="P86" i="11"/>
  <c r="P113" i="11" s="1"/>
  <c r="R3" i="11"/>
  <c r="N110" i="11"/>
  <c r="T110" i="11"/>
  <c r="R85" i="11"/>
  <c r="Q33" i="11"/>
  <c r="R33" i="11" s="1"/>
  <c r="O111" i="11"/>
  <c r="O114" i="11" s="1"/>
  <c r="Q98" i="11"/>
  <c r="R105" i="11"/>
  <c r="Q101" i="11"/>
  <c r="J168" i="11" l="1"/>
  <c r="J170" i="11" s="1"/>
  <c r="O168" i="11"/>
  <c r="S114" i="11"/>
  <c r="S168" i="11" s="1"/>
  <c r="M98" i="11"/>
  <c r="R98" i="11" s="1"/>
  <c r="R97" i="11"/>
  <c r="P111" i="11"/>
  <c r="P114" i="11" s="1"/>
  <c r="P168" i="11" s="1"/>
  <c r="M110" i="11"/>
  <c r="T168" i="11"/>
  <c r="Q111" i="11"/>
  <c r="Q34" i="11"/>
  <c r="R34" i="11" s="1"/>
  <c r="M111" i="11"/>
  <c r="P87" i="11"/>
  <c r="R101" i="11"/>
  <c r="Q109" i="11"/>
  <c r="P110" i="11"/>
  <c r="M114" i="11" l="1"/>
  <c r="R111" i="11"/>
  <c r="Q112" i="11"/>
  <c r="R109" i="11"/>
  <c r="Q110" i="11"/>
  <c r="R110" i="11" s="1"/>
  <c r="R112" i="11" l="1"/>
  <c r="Q114" i="11"/>
  <c r="R114" i="11" s="1"/>
  <c r="Q168" i="11" l="1"/>
  <c r="R145" i="11"/>
  <c r="R144" i="11" l="1"/>
  <c r="M165" i="11"/>
  <c r="M167" i="11" s="1"/>
  <c r="M168" i="11" s="1"/>
  <c r="N168" i="11" s="1"/>
  <c r="R168" i="11" l="1"/>
  <c r="R165" i="11"/>
  <c r="R167" i="11" l="1"/>
  <c r="K114" i="11" l="1"/>
  <c r="K168" i="11" l="1"/>
  <c r="L171" i="11" l="1"/>
  <c r="K170" i="11"/>
</calcChain>
</file>

<file path=xl/sharedStrings.xml><?xml version="1.0" encoding="utf-8"?>
<sst xmlns="http://schemas.openxmlformats.org/spreadsheetml/2006/main" count="1152" uniqueCount="228">
  <si>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</si>
  <si>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</si>
  <si>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</si>
  <si>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</si>
  <si>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</si>
  <si>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</si>
  <si>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</si>
  <si>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</si>
  <si>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</si>
  <si>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</si>
  <si>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</si>
  <si>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</si>
  <si>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</si>
  <si>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</si>
  <si>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</si>
  <si>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</si>
  <si>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</si>
  <si>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</si>
  <si>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</si>
  <si>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</si>
  <si>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</si>
  <si>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</si>
  <si>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</si>
  <si>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</si>
  <si>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% EJE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</si>
  <si>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</si>
  <si>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</si>
  <si>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</si>
  <si>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</si>
  <si>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</si>
  <si>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</si>
  <si>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</si>
  <si>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</si>
  <si>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APROPIACION VIGENTE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</si>
  <si>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</si>
  <si>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</si>
  <si>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</si>
  <si>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</si>
  <si>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</si>
  <si>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</si>
  <si>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</si>
  <si>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</si>
  <si>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</si>
  <si>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</si>
  <si>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</si>
  <si>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</si>
  <si>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</si>
  <si>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</si>
  <si>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</si>
  <si>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</si>
  <si>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</si>
  <si>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</si>
  <si>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</si>
  <si>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</si>
  <si>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</si>
  <si>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</si>
  <si>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</si>
  <si>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</si>
  <si>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</si>
  <si>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</si>
  <si>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</si>
  <si>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APORTES GENERALES AL SISTEMA DE RIESGOS LABORALES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</si>
  <si>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</si>
  <si>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</si>
  <si>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</si>
  <si>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</si>
  <si>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</si>
  <si>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</si>
  <si>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</si>
  <si>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</si>
  <si>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</si>
  <si>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</si>
  <si>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</si>
  <si>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</si>
  <si>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</si>
  <si>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</si>
  <si>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</si>
  <si>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</si>
  <si>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</si>
  <si>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</si>
  <si>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</si>
  <si>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</si>
  <si>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IMPUESTOS</t>
  </si>
  <si>
    <t>CUOTA DE FISCALIZACIÓN Y AUDITAJE</t>
  </si>
  <si>
    <t>GASTOS  POR  TRIBUTOS MULTAS SANCIONES E INTERESES DE MORA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</si>
  <si>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</si>
  <si>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</si>
  <si>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</si>
  <si>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</si>
  <si>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</si>
  <si>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</si>
  <si>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</si>
  <si>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</si>
  <si>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</si>
  <si>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</si>
  <si>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</si>
  <si>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19</t>
  </si>
  <si>
    <t>23</t>
  </si>
  <si>
    <t>EFECTIVIDAD DE LA INVESTIGACION PENAL Y TECNICO CIENTIFICA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</si>
  <si>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</si>
  <si>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</si>
  <si>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</si>
  <si>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PRESTACIONES SOCIALES RELACIONADAS CON EL EMPLEO</t>
  </si>
  <si>
    <t>TOTAL GASTOS POR TRIBUTOS MULTAS SANCIONES E INTERESES DE MORA</t>
  </si>
  <si>
    <t xml:space="preserve">AUXILIO DE CESANTÍAS </t>
  </si>
  <si>
    <t>MAQUINARIA PARA USO GENERAL</t>
  </si>
  <si>
    <t>MAQUINARIA PARA USOS ESPECIALES</t>
  </si>
  <si>
    <t>DOTACIÓN (PRENDAS DE VESTIR Y CALZADO)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</si>
  <si>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</si>
  <si>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</si>
  <si>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</si>
  <si>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</si>
  <si>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</si>
  <si>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</si>
  <si>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</si>
  <si>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</si>
  <si>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</si>
  <si>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</si>
  <si>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SERVICIOS DE CONSTRUCCIÓN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</si>
  <si>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</si>
  <si>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</si>
  <si>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</si>
  <si>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</si>
  <si>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</si>
  <si>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</si>
  <si>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JURÍDICOS Y CONTABLES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</si>
  <si>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</si>
  <si>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</si>
  <si>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</si>
  <si>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SERVICIOS PARA EL CUIDADO DE LA SALUD HUMANA Y SERVICIOS SOCIALES</t>
  </si>
  <si>
    <t>SERVICIOS DE ALCANTARILLADO, RECOLECCIÓN, TRATAMIENTO Y DISPOSICIÓN DE DESECHOS Y OTROS SERVICIOS DE SANEAMIENTO AMBIENTAL</t>
  </si>
  <si>
    <t>CONTRIBUCIONES</t>
  </si>
  <si>
    <t>VACACIONES</t>
  </si>
  <si>
    <t>PRESTACIONES PARA CUBRIR RIESGOS SOCIALES</t>
  </si>
  <si>
    <t>MUEBLES, INSTRUMENTOS MUSICALES, ARTÍCULOS DE DEPORTE Y ANTIGÜEDADES</t>
  </si>
  <si>
    <t>APARATOS MÉDICOS, INSTRUMENTOS ÓPTICOS Y DE PRECISIÓN, RELOJES</t>
  </si>
  <si>
    <t>SERVICIOS PROFESIONALES, CIENTÍFICOS Y TÉCNICOS (EXCEPTO LOS SERVICIOS DE INVESTIGACION, URBANISMO, JURÍDICOS Y DE CONTABILIDAD)</t>
  </si>
  <si>
    <t>SERVICIOS RECREATIVOS, CULTURALES Y DEPORTIVOS</t>
  </si>
  <si>
    <t>APROPIA. INICIAL</t>
  </si>
  <si>
    <t>APR. ADICIONADA</t>
  </si>
  <si>
    <t>APR. REDUCIDA</t>
  </si>
  <si>
    <t>2901007</t>
  </si>
  <si>
    <t>2901002</t>
  </si>
  <si>
    <t>2901008</t>
  </si>
  <si>
    <t>2901020</t>
  </si>
  <si>
    <t>2901021</t>
  </si>
  <si>
    <t>2901013</t>
  </si>
  <si>
    <t>2901014</t>
  </si>
  <si>
    <t>2901024</t>
  </si>
  <si>
    <t>2901006</t>
  </si>
  <si>
    <t>2901010</t>
  </si>
  <si>
    <t>2901016</t>
  </si>
  <si>
    <t>2901022</t>
  </si>
  <si>
    <t>2901023</t>
  </si>
  <si>
    <t>2999065</t>
  </si>
  <si>
    <t>2999067</t>
  </si>
  <si>
    <t>2999055</t>
  </si>
  <si>
    <t>2999016</t>
  </si>
  <si>
    <t>2999011</t>
  </si>
  <si>
    <t>ADQUIS. DE BYS - SERVICIOS DE LABORATORIO FORENSE - FORTALECIMIENTO DE LA CAPACIDAD Y CALIDAD CIENTÍFICA DE LOS ENSAYOS REALIZADOS EN LOS LABORATORIOS FORENSES  NACIONAL</t>
  </si>
  <si>
    <t>ADQUIS. DE BYS - DOCUMENTOS DE LINEAMIENTOS TÉCNICOS - MEJORAMIENTO DE LA CAPACIDAD EN EL DESARROLLO DE LA BÚSQUEDA E IDENTIFICACIÓN DE PERSONAS DESAPARECIDAS, ENFOQUE DIFERENCIAL Y ATENCIÓN PSICOSOCIAL A VÍCTIMAS EN EL NIVEL  NACI</t>
  </si>
  <si>
    <t xml:space="preserve">ADQUIS. DE BYS - SERVICIOS DE VALORACIÓN DEL RIESGO DE FEMINICIDIO - MEJORAMIENTO DE LA CAPACIDAD EN EL DESARROLLO DE LA BÚSQUEDA E IDENTIFICACIÓN DE PERSONAS DESAPARECIDAS, ENFOQUE DIFERENCIAL Y ATENCIÓN PSICOSOCIAL A VÍCTIMAS EN </t>
  </si>
  <si>
    <t xml:space="preserve">ADQUIS. DE BYS - SERVICIO FORENSE EN LESIONES NO FATALES - MEJORAMIENTO DE LA CAPACIDAD EN EL DESARROLLO DE LA BÚSQUEDA E IDENTIFICACIÓN DE PERSONAS DESAPARECIDAS, ENFOQUE DIFERENCIAL Y ATENCIÓN PSICOSOCIAL A VÍCTIMAS EN EL NIVEL  </t>
  </si>
  <si>
    <t>ADQUIS. DE BYS - SERVICIOS DE GENÉTICA FORENSE - MEJORAMIENTO DE LA CAPACIDAD DE ANÁLISIS EN PRUEBAS DE ADN A NIVEL  NACIONAL</t>
  </si>
  <si>
    <t>ADQUIS. DE BYS - SERVICIO DE RECUPERACIÓN DE CADAVERES - FORTALECIMIENTO DE PROCEDIMIENTOS EN LA INVESTIGACIÓN MÉDICO LEGAL DE VIOLACIÓN DE LOS DERECHOS HUMANOS Y EL DERECHO INTERNACIONAL HUMANITARIO A NIVEL  NACIONAL</t>
  </si>
  <si>
    <t>ADQUIS. DE BYS - SERVICIO DE IDENTIFICACIÓN DE CADAVERES - FORTALECIMIENTO DE PROCEDIMIENTOS EN LA INVESTIGACIÓN MÉDICO LEGAL DE VIOLACIÓN DE LOS DERECHOS HUMANOS Y EL DERECHO INTERNACIONAL HUMANITARIO A NIVEL  NACIONAL</t>
  </si>
  <si>
    <t>ADQUIS. DE BYS - SERVICIO DE VALORACIÓN DE PERSONAS PRIVADAS DE LA LIBERTAD - FORTALECIMIENTO DE PROCEDIMIENTOS EN LA INVESTIGACIÓN MÉDICO LEGAL DE VIOLACIÓN DE LOS DERECHOS HUMANOS Y EL DERECHO INTERNACIONAL HUMANITARIO A NIVEL  N</t>
  </si>
  <si>
    <t>ADQUIS. DE BYS - SERVICIO DE INVESTIGACIÓN PENAL, CRIMINALÍSTICA Y MEDICINA LEGAL - MEJORAMIENTO DE LOS PROCEDIMIENTOS Y DE LA CAPACIDAD DE RESPUESTA EN LOS SERVICIOS DE PATOLOGÍA FORENSE A NIVEL  NACIONAL</t>
  </si>
  <si>
    <t>ADQUIS. DE BYS - SALAS DE NECROPSIA DOTADAS - MEJORAMIENTO DE LOS PROCEDIMIENTOS Y DE LA CAPACIDAD DE RESPUESTA EN LOS SERVICIOS DE PATOLOGÍA FORENSE A NIVEL  NACIONAL</t>
  </si>
  <si>
    <t>ADQUIS. DE BYS - SERVICIO DE ASISTENCIA TÉCNICA PARA LA FORMULACIÓN DE PROYECTOS.  - FORTALECIMIENTO DEL CONOCIMIENTO CIENTÍFICO FORENSE EN EL INSTITUTO NACIONAL DE MEDICINA LEGAL Y CIENCIAS FORENSES  NACIONAL</t>
  </si>
  <si>
    <t>ADQUIS. DE BYS - SERVICIO DE EDUCACIÓN INFORMAL - FORTALECIMIENTO DEL CONOCIMIENTO CIENTÍFICO FORENSE EN EL INSTITUTO NACIONAL DE MEDICINA LEGAL Y CIENCIAS FORENSES  NACIONAL</t>
  </si>
  <si>
    <t>ADQUIS. DE BYS - DOCUMENTO DE INVESTIGACIÓN - FORTALECIMIENTO DEL CONOCIMIENTO CIENTÍFICO FORENSE EN EL INSTITUTO NACIONAL DE MEDICINA LEGAL Y CIENCIAS FORENSES  NACIONAL</t>
  </si>
  <si>
    <t>ADQUIS. DE BYS - SERVICIOS DE LABORATORIO FORENSE - FORTALECIMIENTO DEL INSTITUTO NACIONAL DE MEDICINA LEGAL Y CIENCIAS FORENSES EN ATENCIÓN A LOS RETOS DEL POSCONFLICTO A NIVEL NACIONAL</t>
  </si>
  <si>
    <t>ADQUIS. DE BYS - SERVICIOS DE GENÉTICA FORENSE - FORTALECIMIENTO DEL INSTITUTO NACIONAL DE MEDICINA LEGAL Y CIENCIAS FORENSES EN ATENCIÓN A LOS RETOS DEL POSCONFLICTO A NIVEL NACIONAL</t>
  </si>
  <si>
    <t>ADQUIS. DE BYS - SERVICIO DE IDENTIFICACIÓN DE CADAVERES - FORTALECIMIENTO DEL INSTITUTO NACIONAL DE MEDICINA LEGAL Y CIENCIAS FORENSES EN ATENCIÓN A LOS RETOS DEL POSCONFLICTO A NIVEL NACIONAL</t>
  </si>
  <si>
    <t>ADQUIS. DE BYS - SERVICIO FORENSE EN LESIONES NO FATALES - FORTALECIMIENTO DEL INSTITUTO NACIONAL DE MEDICINA LEGAL Y CIENCIAS FORENSES EN ATENCIÓN A LOS RETOS DEL POSCONFLICTO A NIVEL  NACIONAL</t>
  </si>
  <si>
    <t>ADQUIS. DE BYS - SERVICIO DE GESTIÓN DOCUMENTAL - CONSOLIDACIÓN DEL SISTEMA DE GESTIÓN DOCUMENTAL DEL INSTITUTO NACIONAL DE MEDICINA LEGAL Y CIENCIAS FORENSES  NACIONAL</t>
  </si>
  <si>
    <t>ADQUIS. DE BYS - SERVICIOS DE INFORMACIÓN IMPLEMENTADOS - FORTALECIMIENTO Y SOSTENIBILIDAD DE LA ARQUITECTURA DE TECNOLOGÍAS DE INFORMACIÓN DEL INSTITUTO BASADOS EN LA POLÍTICA DE GOBIERNO DIGITAL NACIONAL  NACIONAL</t>
  </si>
  <si>
    <t>ADQUIS. DE BYS - SERVICIOS TECNOLÓGICOS - FORTALECIMIENTO Y SOSTENIBILIDAD DE LA ARQUITECTURA DE TECNOLOGÍAS DE INFORMACIÓN DEL INSTITUTO BASADOS EN LA POLÍTICA DE GOBIERNO DIGITAL NACIONAL  NACIONAL</t>
  </si>
  <si>
    <t>ADQUIS. DE BYS - SEDES MANTENIDAS - ASISTENCIA TÉCNICA EN EQUIPOS DE ALTA TECNOLOGÍA Y MODERNIZACIÓN DE EQUIPOS ELECTROMECÁNICOS DE LAS ÁREAS FORENSES  NACIONAL</t>
  </si>
  <si>
    <t>ADQUIS. DE BYS - SERVICIOS TECNOLÓGICOS - ASISTENCIA TÉCNICA EN EQUIPOS DE ALTA TECNOLOGÍA Y MODERNIZACIÓN DE EQUIPOS ELECTROMECÁNICOS DE LAS ÁREAS FORENSES  NACIONAL</t>
  </si>
  <si>
    <t>ADQUIS. DE BYS - SEDES MANTENIDAS - MEJORAMIENTO DEL PARQUE AUTOMOTOR DEL INSTITUTO NACIONAL DE MEDICINA LEGAL Y CIENCIAS FORENSES A NIVEL  NACIONAL</t>
  </si>
  <si>
    <t>ADQUIS. DE BYS - SEDES ADECUADAS - DESARROLLO DE LA GESTIÓN AMBIENTAL INTEGRAL EN LAS SEDES DEL INSTITUTO NACIONAL DE MEDICINA LEGAL Y CIENCIAS FORENSES  NACIONAL</t>
  </si>
  <si>
    <t>ADQUIS. DE BYS - SEDES MANTENIDAS - DESARROLLO DE LA GESTIÓN AMBIENTAL INTEGRAL EN LAS SEDES DEL INSTITUTO NACIONAL DE MEDICINA LEGAL Y CIENCIAS FORENSES  NACIONAL</t>
  </si>
  <si>
    <t>FORTALECIMIENTO DE LA CAPACIDAD Y CALIDAD CIENTÍFICA DE LOS ENSAYOS REALIZADOS EN LOS LABORATORIOS FORENSES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</si>
  <si>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</si>
  <si>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</si>
  <si>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</si>
  <si>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 xml:space="preserve"> FORTALECIMIENTO DEL INSTITUTO NACIONAL DE MEDICINA LEGAL Y CIENCIAS FORENSES EN ATENCIÓN A LOS RETOS DEL POSCONFLICTO A NIVEL NACIONAL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</si>
  <si>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</si>
  <si>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</si>
  <si>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</si>
  <si>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MEJORAMIENTO DEL PARQUE AUTOMOTOR DEL INSTITUTO NACIONAL DE MEDICINA LEGAL Y CIENCIAS FORENSES A NIVEL  NACIONAL</t>
  </si>
  <si>
    <t>DESARROLLO DE LA GESTIÓN AMBIENTAL INTEGRAL EN LAS SEDES DEL INSTITUTO NACIONAL DE MEDICINA LEGAL Y CIENCIAS FORENSES  NACIONAL</t>
  </si>
  <si>
    <t>INTERSUBSECTORIAL JUSTICIA</t>
  </si>
  <si>
    <t>APORTES A LA SEGURIDAD SOCIAL EN PENSIONES</t>
  </si>
  <si>
    <t>APORTES A LA SEGURIDAD SOCIAL EN SALUD</t>
  </si>
  <si>
    <t>APORTES A CAJAS DE COMPENSACIÓN FAMILIAR</t>
  </si>
  <si>
    <t>MEJORAMIENTO DE LA CAPACIDAD EN EL DESARROLLO DE LA BÚSQUEDA E IDENTIFICACIÓN DE PERSONAS DESAPARECIDAS, ENFOQUE DIFERENCIAL Y ATENCIÓN PSICOSOCIAL A VÍCTIMAS EN EL NIVEL  NACIONAL</t>
  </si>
  <si>
    <t>FORTALECIMIENTO DEL CONOCIMIENTO CIENTÍFICO FORENSE EN EL INSTITUTO NACIONAL DE MEDICINA LEGAL Y CIENCIAS FORENSES  NACIONAL</t>
  </si>
  <si>
    <t>ARTICULOS TEXTILES (EXCEPTO PRENDAS DE VESTIR)</t>
  </si>
  <si>
    <t xml:space="preserve">Reviso: Cesar Augusto Acuña Reyes- coordinador- Grupo Nacional de Gestión Presupuestal </t>
  </si>
  <si>
    <t>Elaboro: Martha C. Florez Giraldo - Profes. Univer. Grupo Nacional de Gestión Presupuestal</t>
  </si>
  <si>
    <t>PASTA O PULPA, PAPEL Y PRODUCTOS DE PAPEL; IMPRESOS Y ARTÍCULOS SIMILARES</t>
  </si>
  <si>
    <t>20111D</t>
  </si>
  <si>
    <t>20109C</t>
  </si>
  <si>
    <t>20113A</t>
  </si>
  <si>
    <t>53105B</t>
  </si>
  <si>
    <t>CONSTRUCCION, DOTACION Y ADECUACION DE EDIFICIOS SEDES DEL INSTITUTO NACIONAL DE MEDICINA LEGAL  Y CIENCIAS FORENSES NACIONAL</t>
  </si>
  <si>
    <t>ADQUIS. DE BYS-SEDES ADECUADAS-CONSTRUCCION, DOTACION Y ADECUACION DE EDIFICIOS SEDES DEL INSTITUTO NACIONAL DE MEDICINA LEGAL  Y CIENCIAS FORENSES NACIONAL</t>
  </si>
  <si>
    <t>ADQUIS. DE BYS-SEDE CONSTRUIDA Y DOTADA-CONSTRUCCION, DOTACION Y ADECUACION DE EDIFICIOS SEDES DEL INSTITUTO NACIONAL DE MEDICINA LEGAL  Y CIENCIAS FORENSES NACIONAL</t>
  </si>
  <si>
    <t>INCAPACIDADES Y LICENCIAS DE MATERNIDAD Y PATERNIDAD(NO DE PENSIONES)</t>
  </si>
  <si>
    <t>FORTALECIMIENTO Y APOYO A LA GESTION INSTITUCIONAL DEL SECTOR FISCALIA</t>
  </si>
  <si>
    <t>APROP. BLOQUEADA</t>
  </si>
  <si>
    <t>PIEDRA, ARENA Y ARCILLA</t>
  </si>
  <si>
    <t>ADQUIS. DE BYS - SEDES ADECUADAS - MEJORAMIENTO DEL PARQUE AUTOMOTOR DEL INSTITUTO NACIONAL DE MEDICINA LEGAL Y CIENCIAS FORENSES A NIVEL  NACIONAL</t>
  </si>
  <si>
    <t>ADQUIS. DE BYS - SEDE CONSTRUIDA Y DOTADA - CONSTRUCCIÓN  Y DOTACIÓN DE LA SEDE DE MEDICINA LEGAL Y CIENCIAS FORENSES  SOACHA</t>
  </si>
  <si>
    <t>53105D</t>
  </si>
  <si>
    <t>CONSTRUIDA Y DOTADA - CONSTRUCCIÓN  Y DOTACIÓN DE LA SEDE DE MEDICINA LEGAL Y CIENCIAS FORENSES  SOACHA</t>
  </si>
  <si>
    <t>CONGRESO DE MEDICINA LEGAL Y CIENCIAS FORENSES</t>
  </si>
  <si>
    <t>066</t>
  </si>
  <si>
    <t>A ENTIDADES DEL GOBIERNO</t>
  </si>
  <si>
    <t>OTROS MINERALES</t>
  </si>
  <si>
    <t>PRODUCTOS DE MADERA, CORCHO, CESTERÍA Y ESPARTERÍA</t>
  </si>
  <si>
    <t>EQUIPO Y APARATOS DE RADIO, TELEVISIÓN Y COMUNICACIONES</t>
  </si>
  <si>
    <t>EQUIPO DE TRANSPORTE</t>
  </si>
  <si>
    <t>RUBRO</t>
  </si>
  <si>
    <t>Fecha:Junio-03-2026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</si>
</sst>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</numFmts>
  <fonts count="2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b/>
      <sz val="7"/>
      <name val="Arial Narrow"/>
      <family val="2"/>
    </font>
    <font>
      <sz val="5"/>
      <name val="Arial Narrow"/>
      <family val="2"/>
    </font>
    <font>
      <b/>
      <sz val="5"/>
      <name val="Arial Narrow"/>
      <family val="2"/>
    </font>
    <font>
      <sz val="8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b/>
      <sz val="8"/>
      <color rgb="FF000000"/>
      <name val="Times New Roman"/>
      <family val="1"/>
    </font>
    <font>
      <sz val="6"/>
      <color rgb="FFFF0000"/>
      <name val="Arial Narrow"/>
      <family val="2"/>
    </font>
    <font>
      <b/>
      <sz val="6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8"/>
      </top>
      <bottom style="medium">
        <color indexed="64"/>
      </bottom>
      <diagonal/>
    </border>
    <border>
      <left/>
      <right/>
      <top style="thick">
        <color indexed="8"/>
      </top>
      <bottom style="medium">
        <color indexed="64"/>
      </bottom>
      <diagonal/>
    </border>
    <border>
      <left/>
      <right style="medium">
        <color indexed="64"/>
      </right>
      <top style="thick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9" fontId="15" fillId="0" borderId="0" applyFont="0" applyFill="0" applyBorder="0" applyAlignment="0" applyProtection="0"/>
  </cellStyleXfs>
  <cellXfs count="136">
    <xf numFmtId="0" fontId="0" fillId="0" borderId="0" xfId="0"/>
    <xf numFmtId="0" fontId="1" fillId="0" borderId="0" xfId="0" applyFont="1"/>
    <xf numFmtId="164" fontId="1" fillId="0" borderId="0" xfId="1" applyFont="1" applyFill="1" applyBorder="1"/>
    <xf numFmtId="164" fontId="16" fillId="3" borderId="1" xfId="1" applyFont="1" applyFill="1" applyBorder="1" applyAlignment="1">
      <alignment horizontal="right" vertical="center" wrapText="1" readingOrder="1"/>
    </xf>
    <xf numFmtId="0" fontId="4" fillId="0" borderId="0" xfId="0" applyFont="1"/>
    <xf numFmtId="0" fontId="5" fillId="0" borderId="0" xfId="0" applyFont="1"/>
    <xf numFmtId="0" fontId="1" fillId="4" borderId="0" xfId="0" applyFont="1" applyFill="1"/>
    <xf numFmtId="0" fontId="17" fillId="4" borderId="1" xfId="0" applyFont="1" applyFill="1" applyBorder="1" applyAlignment="1">
      <alignment horizontal="center" vertical="center" wrapText="1" readingOrder="1"/>
    </xf>
    <xf numFmtId="0" fontId="18" fillId="4" borderId="1" xfId="0" applyFont="1" applyFill="1" applyBorder="1" applyAlignment="1">
      <alignment horizontal="center" vertical="center" wrapText="1" readingOrder="1"/>
    </xf>
    <xf numFmtId="164" fontId="17" fillId="4" borderId="1" xfId="1" applyFont="1" applyFill="1" applyBorder="1" applyAlignment="1">
      <alignment horizontal="right" vertical="center" wrapText="1" readingOrder="1"/>
    </xf>
    <xf numFmtId="164" fontId="17" fillId="4" borderId="2" xfId="1" applyFont="1" applyFill="1" applyBorder="1" applyAlignment="1">
      <alignment horizontal="right" vertical="center" wrapText="1" readingOrder="1"/>
    </xf>
    <xf numFmtId="0" fontId="19" fillId="4" borderId="1" xfId="0" applyFont="1" applyFill="1" applyBorder="1" applyAlignment="1">
      <alignment horizontal="center" vertical="center" wrapText="1" readingOrder="1"/>
    </xf>
    <xf numFmtId="0" fontId="19" fillId="4" borderId="1" xfId="0" applyFont="1" applyFill="1" applyBorder="1" applyAlignment="1">
      <alignment vertical="center" wrapText="1" readingOrder="1"/>
    </xf>
    <xf numFmtId="0" fontId="20" fillId="4" borderId="1" xfId="0" applyFont="1" applyFill="1" applyBorder="1" applyAlignment="1">
      <alignment horizontal="center" vertical="center" wrapText="1" readingOrder="1"/>
    </xf>
    <xf numFmtId="164" fontId="19" fillId="4" borderId="1" xfId="1" applyFont="1" applyFill="1" applyBorder="1" applyAlignment="1">
      <alignment horizontal="right" vertical="center" wrapText="1" readingOrder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165" fontId="6" fillId="0" borderId="0" xfId="1" applyNumberFormat="1" applyFont="1" applyAlignment="1">
      <alignment vertical="top"/>
    </xf>
    <xf numFmtId="164" fontId="6" fillId="0" borderId="0" xfId="1" applyFont="1" applyAlignment="1">
      <alignment horizontal="center" vertical="top"/>
    </xf>
    <xf numFmtId="164" fontId="6" fillId="0" borderId="0" xfId="1" applyFont="1" applyAlignment="1">
      <alignment vertical="top" wrapText="1"/>
    </xf>
    <xf numFmtId="164" fontId="6" fillId="0" borderId="0" xfId="1" applyFont="1" applyAlignment="1">
      <alignment vertical="top"/>
    </xf>
    <xf numFmtId="164" fontId="19" fillId="4" borderId="2" xfId="1" applyFont="1" applyFill="1" applyBorder="1" applyAlignment="1">
      <alignment horizontal="right" vertical="center" wrapText="1" readingOrder="1"/>
    </xf>
    <xf numFmtId="0" fontId="17" fillId="4" borderId="1" xfId="0" applyFont="1" applyFill="1" applyBorder="1" applyAlignment="1">
      <alignment vertical="center" wrapText="1" readingOrder="1"/>
    </xf>
    <xf numFmtId="164" fontId="7" fillId="4" borderId="1" xfId="1" applyFont="1" applyFill="1" applyBorder="1" applyAlignment="1">
      <alignment horizontal="right" vertical="center" wrapText="1" readingOrder="1"/>
    </xf>
    <xf numFmtId="10" fontId="17" fillId="4" borderId="1" xfId="4" applyNumberFormat="1" applyFont="1" applyFill="1" applyBorder="1" applyAlignment="1">
      <alignment horizontal="right" vertical="center" wrapText="1" readingOrder="1"/>
    </xf>
    <xf numFmtId="10" fontId="19" fillId="4" borderId="1" xfId="4" applyNumberFormat="1" applyFont="1" applyFill="1" applyBorder="1" applyAlignment="1">
      <alignment horizontal="right" vertical="center" wrapText="1" readingOrder="1"/>
    </xf>
    <xf numFmtId="164" fontId="8" fillId="4" borderId="1" xfId="1" applyFont="1" applyFill="1" applyBorder="1" applyAlignment="1">
      <alignment horizontal="right" vertical="center" wrapText="1" readingOrder="1"/>
    </xf>
    <xf numFmtId="0" fontId="6" fillId="4" borderId="0" xfId="0" applyFont="1" applyFill="1" applyAlignment="1">
      <alignment vertical="top"/>
    </xf>
    <xf numFmtId="164" fontId="1" fillId="4" borderId="0" xfId="1" applyFont="1" applyFill="1" applyBorder="1"/>
    <xf numFmtId="164" fontId="21" fillId="4" borderId="0" xfId="1" applyFont="1" applyFill="1" applyAlignment="1">
      <alignment vertical="top"/>
    </xf>
    <xf numFmtId="164" fontId="6" fillId="4" borderId="0" xfId="1" applyFont="1" applyFill="1" applyAlignment="1">
      <alignment vertical="top"/>
    </xf>
    <xf numFmtId="164" fontId="1" fillId="0" borderId="0" xfId="0" applyNumberFormat="1" applyFont="1"/>
    <xf numFmtId="164" fontId="7" fillId="4" borderId="2" xfId="1" applyFont="1" applyFill="1" applyBorder="1" applyAlignment="1">
      <alignment horizontal="right" vertical="center" wrapText="1" readingOrder="1"/>
    </xf>
    <xf numFmtId="0" fontId="19" fillId="4" borderId="4" xfId="0" applyFont="1" applyFill="1" applyBorder="1" applyAlignment="1">
      <alignment horizontal="center" vertical="center" wrapText="1" readingOrder="1"/>
    </xf>
    <xf numFmtId="0" fontId="19" fillId="4" borderId="4" xfId="0" applyFont="1" applyFill="1" applyBorder="1" applyAlignment="1">
      <alignment vertical="center" wrapText="1" readingOrder="1"/>
    </xf>
    <xf numFmtId="0" fontId="20" fillId="4" borderId="4" xfId="0" applyFont="1" applyFill="1" applyBorder="1" applyAlignment="1">
      <alignment horizontal="center" vertical="center" wrapText="1" readingOrder="1"/>
    </xf>
    <xf numFmtId="164" fontId="19" fillId="4" borderId="4" xfId="1" applyFont="1" applyFill="1" applyBorder="1" applyAlignment="1">
      <alignment horizontal="right" vertical="center" wrapText="1" readingOrder="1"/>
    </xf>
    <xf numFmtId="10" fontId="19" fillId="4" borderId="4" xfId="4" applyNumberFormat="1" applyFont="1" applyFill="1" applyBorder="1" applyAlignment="1">
      <alignment horizontal="right" vertical="center" wrapText="1" readingOrder="1"/>
    </xf>
    <xf numFmtId="164" fontId="19" fillId="4" borderId="5" xfId="1" applyFont="1" applyFill="1" applyBorder="1" applyAlignment="1">
      <alignment horizontal="right" vertical="center" wrapText="1" readingOrder="1"/>
    </xf>
    <xf numFmtId="164" fontId="9" fillId="5" borderId="6" xfId="1" applyFont="1" applyFill="1" applyBorder="1" applyAlignment="1">
      <alignment horizontal="right" vertical="center" wrapText="1" readingOrder="1"/>
    </xf>
    <xf numFmtId="164" fontId="9" fillId="5" borderId="7" xfId="1" applyFont="1" applyFill="1" applyBorder="1" applyAlignment="1">
      <alignment horizontal="right" vertical="center" wrapText="1" readingOrder="1"/>
    </xf>
    <xf numFmtId="10" fontId="9" fillId="5" borderId="8" xfId="4" applyNumberFormat="1" applyFont="1" applyFill="1" applyBorder="1" applyAlignment="1">
      <alignment horizontal="right" vertical="center" wrapText="1" readingOrder="1"/>
    </xf>
    <xf numFmtId="164" fontId="8" fillId="0" borderId="1" xfId="1" applyFont="1" applyFill="1" applyBorder="1" applyAlignment="1">
      <alignment horizontal="right" vertical="center" wrapText="1" readingOrder="1"/>
    </xf>
    <xf numFmtId="164" fontId="6" fillId="4" borderId="0" xfId="0" applyNumberFormat="1" applyFont="1" applyFill="1" applyAlignment="1">
      <alignment vertical="top"/>
    </xf>
    <xf numFmtId="0" fontId="2" fillId="4" borderId="0" xfId="0" applyFont="1" applyFill="1"/>
    <xf numFmtId="164" fontId="7" fillId="0" borderId="1" xfId="1" applyFont="1" applyFill="1" applyBorder="1" applyAlignment="1">
      <alignment horizontal="right" vertical="center" wrapText="1" readingOrder="1"/>
    </xf>
    <xf numFmtId="10" fontId="19" fillId="4" borderId="1" xfId="1" applyNumberFormat="1" applyFont="1" applyFill="1" applyBorder="1" applyAlignment="1">
      <alignment horizontal="right" vertical="center" wrapText="1" readingOrder="1"/>
    </xf>
    <xf numFmtId="164" fontId="8" fillId="4" borderId="2" xfId="1" applyFont="1" applyFill="1" applyBorder="1" applyAlignment="1">
      <alignment horizontal="right" vertical="center" wrapText="1" readingOrder="1"/>
    </xf>
    <xf numFmtId="164" fontId="9" fillId="5" borderId="9" xfId="1" applyFont="1" applyFill="1" applyBorder="1" applyAlignment="1">
      <alignment horizontal="right" vertical="center" wrapText="1" readingOrder="1"/>
    </xf>
    <xf numFmtId="164" fontId="9" fillId="5" borderId="10" xfId="1" applyFont="1" applyFill="1" applyBorder="1" applyAlignment="1">
      <alignment horizontal="right" vertical="center" wrapText="1" readingOrder="1"/>
    </xf>
    <xf numFmtId="0" fontId="17" fillId="4" borderId="0" xfId="0" applyFont="1" applyFill="1" applyAlignment="1">
      <alignment vertical="center" wrapText="1" readingOrder="1"/>
    </xf>
    <xf numFmtId="0" fontId="17" fillId="4" borderId="11" xfId="0" applyFont="1" applyFill="1" applyBorder="1" applyAlignment="1">
      <alignment vertical="center" wrapText="1" readingOrder="1"/>
    </xf>
    <xf numFmtId="0" fontId="17" fillId="0" borderId="1" xfId="0" applyFont="1" applyBorder="1" applyAlignment="1">
      <alignment horizontal="center" vertical="center" wrapText="1" readingOrder="1"/>
    </xf>
    <xf numFmtId="0" fontId="18" fillId="0" borderId="1" xfId="0" applyFont="1" applyBorder="1" applyAlignment="1">
      <alignment horizontal="center" vertical="center" wrapText="1" readingOrder="1"/>
    </xf>
    <xf numFmtId="164" fontId="17" fillId="0" borderId="1" xfId="1" applyFont="1" applyFill="1" applyBorder="1" applyAlignment="1">
      <alignment horizontal="right" vertical="center" wrapText="1" readingOrder="1"/>
    </xf>
    <xf numFmtId="164" fontId="17" fillId="0" borderId="2" xfId="1" applyFont="1" applyFill="1" applyBorder="1" applyAlignment="1">
      <alignment horizontal="right" vertical="center" wrapText="1" readingOrder="1"/>
    </xf>
    <xf numFmtId="164" fontId="6" fillId="0" borderId="0" xfId="0" applyNumberFormat="1" applyFont="1" applyAlignment="1">
      <alignment vertical="top"/>
    </xf>
    <xf numFmtId="0" fontId="10" fillId="2" borderId="12" xfId="2" applyFont="1" applyFill="1" applyBorder="1" applyAlignment="1">
      <alignment horizontal="center" vertical="center" wrapText="1"/>
    </xf>
    <xf numFmtId="10" fontId="7" fillId="4" borderId="1" xfId="4" applyNumberFormat="1" applyFont="1" applyFill="1" applyBorder="1" applyAlignment="1">
      <alignment horizontal="right" vertical="center" wrapText="1" readingOrder="1"/>
    </xf>
    <xf numFmtId="0" fontId="11" fillId="4" borderId="1" xfId="0" applyFont="1" applyFill="1" applyBorder="1" applyAlignment="1">
      <alignment horizontal="center" vertical="center" wrapText="1" readingOrder="1"/>
    </xf>
    <xf numFmtId="164" fontId="7" fillId="3" borderId="1" xfId="1" applyFont="1" applyFill="1" applyBorder="1" applyAlignment="1">
      <alignment horizontal="right" vertical="center" wrapText="1" readingOrder="1"/>
    </xf>
    <xf numFmtId="49" fontId="17" fillId="4" borderId="1" xfId="0" applyNumberFormat="1" applyFont="1" applyFill="1" applyBorder="1" applyAlignment="1">
      <alignment horizontal="center" vertical="center" wrapText="1" readingOrder="1"/>
    </xf>
    <xf numFmtId="43" fontId="6" fillId="0" borderId="0" xfId="0" applyNumberFormat="1" applyFont="1" applyAlignment="1">
      <alignment vertical="top"/>
    </xf>
    <xf numFmtId="43" fontId="6" fillId="4" borderId="0" xfId="0" applyNumberFormat="1" applyFont="1" applyFill="1" applyAlignment="1">
      <alignment vertical="top"/>
    </xf>
    <xf numFmtId="164" fontId="7" fillId="0" borderId="2" xfId="1" applyFont="1" applyFill="1" applyBorder="1" applyAlignment="1">
      <alignment horizontal="right" vertical="center" wrapText="1" readingOrder="1"/>
    </xf>
    <xf numFmtId="10" fontId="8" fillId="4" borderId="1" xfId="4" applyNumberFormat="1" applyFont="1" applyFill="1" applyBorder="1" applyAlignment="1">
      <alignment horizontal="right" vertical="center" wrapText="1" readingOrder="1"/>
    </xf>
    <xf numFmtId="164" fontId="8" fillId="0" borderId="2" xfId="1" applyFont="1" applyFill="1" applyBorder="1" applyAlignment="1">
      <alignment horizontal="right" vertical="center" wrapText="1" readingOrder="1"/>
    </xf>
    <xf numFmtId="49" fontId="19" fillId="4" borderId="1" xfId="0" applyNumberFormat="1" applyFont="1" applyFill="1" applyBorder="1" applyAlignment="1">
      <alignment horizontal="center" vertical="center" wrapText="1" readingOrder="1"/>
    </xf>
    <xf numFmtId="164" fontId="7" fillId="5" borderId="1" xfId="1" applyFont="1" applyFill="1" applyBorder="1" applyAlignment="1">
      <alignment horizontal="right" vertical="center" wrapText="1" readingOrder="1"/>
    </xf>
    <xf numFmtId="164" fontId="7" fillId="3" borderId="2" xfId="1" applyFont="1" applyFill="1" applyBorder="1" applyAlignment="1">
      <alignment horizontal="right" vertical="center" wrapText="1" readingOrder="1"/>
    </xf>
    <xf numFmtId="10" fontId="7" fillId="5" borderId="1" xfId="4" applyNumberFormat="1" applyFont="1" applyFill="1" applyBorder="1" applyAlignment="1">
      <alignment horizontal="right" vertical="center" wrapText="1" readingOrder="1"/>
    </xf>
    <xf numFmtId="164" fontId="7" fillId="5" borderId="2" xfId="1" applyFont="1" applyFill="1" applyBorder="1" applyAlignment="1">
      <alignment horizontal="right" vertical="center" wrapText="1" readingOrder="1"/>
    </xf>
    <xf numFmtId="10" fontId="7" fillId="3" borderId="1" xfId="4" applyNumberFormat="1" applyFont="1" applyFill="1" applyBorder="1" applyAlignment="1">
      <alignment horizontal="right" vertical="center" wrapText="1" readingOrder="1"/>
    </xf>
    <xf numFmtId="164" fontId="7" fillId="3" borderId="7" xfId="1" applyFont="1" applyFill="1" applyBorder="1" applyAlignment="1">
      <alignment horizontal="right" vertical="center" wrapText="1" readingOrder="1"/>
    </xf>
    <xf numFmtId="164" fontId="7" fillId="3" borderId="9" xfId="1" applyFont="1" applyFill="1" applyBorder="1" applyAlignment="1">
      <alignment horizontal="right" vertical="center" wrapText="1" readingOrder="1"/>
    </xf>
    <xf numFmtId="164" fontId="9" fillId="5" borderId="13" xfId="1" applyFont="1" applyFill="1" applyBorder="1" applyAlignment="1">
      <alignment horizontal="right" vertical="center" wrapText="1" readingOrder="1"/>
    </xf>
    <xf numFmtId="164" fontId="9" fillId="5" borderId="14" xfId="1" applyFont="1" applyFill="1" applyBorder="1" applyAlignment="1">
      <alignment horizontal="right" vertical="center" wrapText="1" readingOrder="1"/>
    </xf>
    <xf numFmtId="0" fontId="7" fillId="3" borderId="1" xfId="0" applyFont="1" applyFill="1" applyBorder="1" applyAlignment="1">
      <alignment horizontal="center" vertical="center" wrapText="1" readingOrder="1"/>
    </xf>
    <xf numFmtId="0" fontId="10" fillId="3" borderId="1" xfId="2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 readingOrder="1"/>
    </xf>
    <xf numFmtId="0" fontId="7" fillId="5" borderId="1" xfId="0" applyFont="1" applyFill="1" applyBorder="1" applyAlignment="1">
      <alignment horizontal="center" vertical="center" wrapText="1" readingOrder="1"/>
    </xf>
    <xf numFmtId="0" fontId="10" fillId="5" borderId="1" xfId="2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 readingOrder="1"/>
    </xf>
    <xf numFmtId="0" fontId="10" fillId="2" borderId="15" xfId="2" applyFont="1" applyFill="1" applyBorder="1" applyAlignment="1">
      <alignment horizontal="center" vertical="center" wrapText="1"/>
    </xf>
    <xf numFmtId="43" fontId="19" fillId="4" borderId="1" xfId="1" applyNumberFormat="1" applyFont="1" applyFill="1" applyBorder="1" applyAlignment="1">
      <alignment horizontal="right" vertical="center" wrapText="1" readingOrder="1"/>
    </xf>
    <xf numFmtId="44" fontId="17" fillId="4" borderId="1" xfId="0" applyNumberFormat="1" applyFont="1" applyFill="1" applyBorder="1" applyAlignment="1">
      <alignment horizontal="center" vertical="center" wrapText="1" readingOrder="1"/>
    </xf>
    <xf numFmtId="0" fontId="19" fillId="4" borderId="3" xfId="0" applyFont="1" applyFill="1" applyBorder="1" applyAlignment="1">
      <alignment horizontal="center" vertical="center" wrapText="1" readingOrder="1"/>
    </xf>
    <xf numFmtId="0" fontId="17" fillId="4" borderId="3" xfId="0" applyFont="1" applyFill="1" applyBorder="1" applyAlignment="1">
      <alignment horizontal="center" vertical="center" wrapText="1" readingOrder="1"/>
    </xf>
    <xf numFmtId="0" fontId="7" fillId="3" borderId="3" xfId="0" applyFont="1" applyFill="1" applyBorder="1" applyAlignment="1">
      <alignment horizontal="center" vertical="center" wrapText="1" readingOrder="1"/>
    </xf>
    <xf numFmtId="0" fontId="7" fillId="5" borderId="3" xfId="0" applyFont="1" applyFill="1" applyBorder="1" applyAlignment="1">
      <alignment horizontal="center" vertical="center" wrapText="1" readingOrder="1"/>
    </xf>
    <xf numFmtId="0" fontId="17" fillId="0" borderId="3" xfId="0" applyFont="1" applyBorder="1" applyAlignment="1">
      <alignment horizontal="center" vertical="center" wrapText="1" readingOrder="1"/>
    </xf>
    <xf numFmtId="0" fontId="19" fillId="0" borderId="3" xfId="0" applyFont="1" applyBorder="1" applyAlignment="1">
      <alignment horizontal="center" vertical="center" wrapText="1" readingOrder="1"/>
    </xf>
    <xf numFmtId="10" fontId="19" fillId="4" borderId="7" xfId="4" applyNumberFormat="1" applyFont="1" applyFill="1" applyBorder="1" applyAlignment="1">
      <alignment horizontal="right" vertical="center" wrapText="1" readingOrder="1"/>
    </xf>
    <xf numFmtId="164" fontId="10" fillId="2" borderId="15" xfId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 readingOrder="1"/>
    </xf>
    <xf numFmtId="0" fontId="20" fillId="0" borderId="1" xfId="0" applyFont="1" applyBorder="1" applyAlignment="1">
      <alignment horizontal="center" vertical="center" wrapText="1" readingOrder="1"/>
    </xf>
    <xf numFmtId="164" fontId="19" fillId="0" borderId="1" xfId="1" applyFont="1" applyFill="1" applyBorder="1" applyAlignment="1">
      <alignment horizontal="right" vertical="center" wrapText="1" readingOrder="1"/>
    </xf>
    <xf numFmtId="164" fontId="19" fillId="0" borderId="2" xfId="1" applyFont="1" applyFill="1" applyBorder="1" applyAlignment="1">
      <alignment horizontal="right" vertical="center" wrapText="1" readingOrder="1"/>
    </xf>
    <xf numFmtId="0" fontId="2" fillId="0" borderId="0" xfId="0" applyFont="1"/>
    <xf numFmtId="164" fontId="7" fillId="4" borderId="4" xfId="1" applyFont="1" applyFill="1" applyBorder="1" applyAlignment="1">
      <alignment horizontal="right" vertical="center" wrapText="1" readingOrder="1"/>
    </xf>
    <xf numFmtId="164" fontId="9" fillId="0" borderId="0" xfId="1" applyFont="1" applyFill="1" applyBorder="1" applyAlignment="1">
      <alignment horizontal="right" vertical="center" wrapText="1" readingOrder="1"/>
    </xf>
    <xf numFmtId="43" fontId="1" fillId="0" borderId="0" xfId="0" applyNumberFormat="1" applyFont="1"/>
    <xf numFmtId="43" fontId="2" fillId="4" borderId="0" xfId="0" applyNumberFormat="1" applyFont="1" applyFill="1"/>
    <xf numFmtId="0" fontId="8" fillId="4" borderId="1" xfId="0" applyFont="1" applyFill="1" applyBorder="1" applyAlignment="1">
      <alignment vertical="center" wrapText="1" readingOrder="1"/>
    </xf>
    <xf numFmtId="0" fontId="9" fillId="0" borderId="0" xfId="2" applyFont="1" applyAlignment="1">
      <alignment horizontal="center" vertical="center" wrapText="1"/>
    </xf>
    <xf numFmtId="10" fontId="9" fillId="0" borderId="0" xfId="4" applyNumberFormat="1" applyFont="1" applyFill="1" applyBorder="1" applyAlignment="1">
      <alignment horizontal="right" vertical="center" wrapText="1" readingOrder="1"/>
    </xf>
    <xf numFmtId="164" fontId="21" fillId="0" borderId="0" xfId="1" applyFont="1" applyAlignment="1">
      <alignment vertical="top" wrapText="1"/>
    </xf>
    <xf numFmtId="164" fontId="5" fillId="0" borderId="0" xfId="1" applyFont="1" applyFill="1" applyBorder="1"/>
    <xf numFmtId="164" fontId="23" fillId="0" borderId="1" xfId="1" applyFont="1" applyFill="1" applyBorder="1" applyAlignment="1">
      <alignment horizontal="right" vertical="center" wrapText="1" readingOrder="1"/>
    </xf>
    <xf numFmtId="4" fontId="8" fillId="0" borderId="1" xfId="1" applyNumberFormat="1" applyFont="1" applyFill="1" applyBorder="1" applyAlignment="1">
      <alignment horizontal="right" vertical="center" wrapText="1" readingOrder="1"/>
    </xf>
    <xf numFmtId="164" fontId="17" fillId="0" borderId="31" xfId="1" applyFont="1" applyFill="1" applyBorder="1" applyAlignment="1">
      <alignment horizontal="right" vertical="center" wrapText="1" readingOrder="1"/>
    </xf>
    <xf numFmtId="43" fontId="7" fillId="4" borderId="1" xfId="1" applyNumberFormat="1" applyFont="1" applyFill="1" applyBorder="1" applyAlignment="1">
      <alignment horizontal="right" vertical="center" wrapText="1" readingOrder="1"/>
    </xf>
    <xf numFmtId="0" fontId="7" fillId="4" borderId="1" xfId="0" applyFont="1" applyFill="1" applyBorder="1" applyAlignment="1">
      <alignment vertical="center" wrapText="1" readingOrder="1"/>
    </xf>
    <xf numFmtId="0" fontId="12" fillId="4" borderId="1" xfId="0" applyFont="1" applyFill="1" applyBorder="1" applyAlignment="1">
      <alignment horizontal="center" vertical="center" wrapText="1" readingOrder="1"/>
    </xf>
    <xf numFmtId="49" fontId="22" fillId="0" borderId="1" xfId="0" applyNumberFormat="1" applyFont="1" applyBorder="1" applyAlignment="1">
      <alignment horizontal="center" vertical="center" wrapText="1" readingOrder="1"/>
    </xf>
    <xf numFmtId="164" fontId="24" fillId="5" borderId="1" xfId="1" applyFont="1" applyFill="1" applyBorder="1" applyAlignment="1">
      <alignment horizontal="right" vertical="center" wrapText="1" readingOrder="1"/>
    </xf>
    <xf numFmtId="164" fontId="8" fillId="0" borderId="31" xfId="1" applyFont="1" applyFill="1" applyBorder="1" applyAlignment="1">
      <alignment horizontal="right" vertical="center" wrapText="1" readingOrder="1"/>
    </xf>
    <xf numFmtId="0" fontId="9" fillId="3" borderId="27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9" xfId="0" applyFont="1" applyFill="1" applyBorder="1" applyAlignment="1">
      <alignment horizontal="center"/>
    </xf>
    <xf numFmtId="0" fontId="10" fillId="2" borderId="30" xfId="2" applyFont="1" applyFill="1" applyBorder="1" applyAlignment="1">
      <alignment horizontal="center" vertical="center" wrapText="1"/>
    </xf>
    <xf numFmtId="0" fontId="10" fillId="2" borderId="25" xfId="2" applyFont="1" applyFill="1" applyBorder="1" applyAlignment="1">
      <alignment horizontal="center" vertical="center" wrapText="1"/>
    </xf>
    <xf numFmtId="0" fontId="10" fillId="2" borderId="26" xfId="2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/>
    </xf>
    <xf numFmtId="0" fontId="9" fillId="5" borderId="22" xfId="2" applyFont="1" applyFill="1" applyBorder="1" applyAlignment="1">
      <alignment horizontal="center" vertical="center" wrapText="1"/>
    </xf>
    <xf numFmtId="0" fontId="9" fillId="5" borderId="23" xfId="2" applyFont="1" applyFill="1" applyBorder="1" applyAlignment="1">
      <alignment horizontal="center" vertical="center" wrapText="1"/>
    </xf>
    <xf numFmtId="0" fontId="9" fillId="5" borderId="24" xfId="2" applyFont="1" applyFill="1" applyBorder="1" applyAlignment="1">
      <alignment horizontal="center" vertical="center" wrapText="1"/>
    </xf>
    <xf numFmtId="0" fontId="10" fillId="3" borderId="16" xfId="2" applyFont="1" applyFill="1" applyBorder="1" applyAlignment="1">
      <alignment horizontal="center" vertical="center" wrapText="1"/>
    </xf>
    <xf numFmtId="0" fontId="10" fillId="3" borderId="17" xfId="2" applyFont="1" applyFill="1" applyBorder="1" applyAlignment="1">
      <alignment horizontal="center" vertical="center" wrapText="1"/>
    </xf>
    <xf numFmtId="0" fontId="10" fillId="3" borderId="18" xfId="2" applyFont="1" applyFill="1" applyBorder="1" applyAlignment="1">
      <alignment horizontal="center" vertical="center" wrapText="1"/>
    </xf>
    <xf numFmtId="0" fontId="9" fillId="5" borderId="16" xfId="2" applyFont="1" applyFill="1" applyBorder="1" applyAlignment="1">
      <alignment horizontal="center" vertical="center" wrapText="1"/>
    </xf>
    <xf numFmtId="0" fontId="9" fillId="5" borderId="17" xfId="2" applyFont="1" applyFill="1" applyBorder="1" applyAlignment="1">
      <alignment horizontal="center" vertical="center" wrapText="1"/>
    </xf>
    <xf numFmtId="0" fontId="9" fillId="5" borderId="18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 xr:uid="{00000000-0005-0000-0000-000002000000}"/>
    <cellStyle name="Normal 3 2" xfId="3" xr:uid="{00000000-0005-0000-0000-000003000000}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ESUPUESTO\PRES-2026\INFORMES%20DE%20EJECUCION%202026\MAYO-31-2026\DESAGREGADO%2031%20DE%20MAY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ESUPUESTO\PRES-2026\INFORMES%20DE%20EJECUCION%202026\ENERO-2026\DECRETO%2031%20DE%20ENER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_EPG034_EjecucionPresupuesta"/>
    </sheetNames>
    <sheetDataSet>
      <sheetData sheetId="0">
        <row r="45">
          <cell r="T45">
            <v>393900000</v>
          </cell>
        </row>
        <row r="46">
          <cell r="T46">
            <v>393420390</v>
          </cell>
        </row>
        <row r="52">
          <cell r="T52">
            <v>289474481</v>
          </cell>
        </row>
        <row r="53">
          <cell r="T53">
            <v>16350540</v>
          </cell>
        </row>
        <row r="54">
          <cell r="T54">
            <v>11068600</v>
          </cell>
        </row>
        <row r="56">
          <cell r="T56">
            <v>92127226</v>
          </cell>
        </row>
        <row r="58">
          <cell r="T58">
            <v>20994692</v>
          </cell>
        </row>
        <row r="68">
          <cell r="T68">
            <v>2343359909</v>
          </cell>
        </row>
        <row r="73">
          <cell r="T73">
            <v>569800500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_EPG034_EjecucionPresupuesta"/>
    </sheetNames>
    <sheetDataSet>
      <sheetData sheetId="0">
        <row r="29">
          <cell r="Q29">
            <v>548423537395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</sheetPr>
  <dimension ref="A1:IY174"/>
  <sheetViews>
    <sheetView showGridLines="0" tabSelected="1" zoomScale="134" zoomScaleNormal="134" workbookViewId="0">
      <selection sqref="A1:F1"/>
    </sheetView>
  </sheetViews>
  <sheetFormatPr baseColWidth="10" defaultRowHeight="15" x14ac:dyDescent="0.25"/>
  <cols>
    <col min="1" max="1" width="3.140625" style="1" customWidth="1"/>
    <col min="2" max="2" width="2.85546875" style="1" customWidth="1"/>
    <col min="3" max="4" width="3.5703125" style="1" customWidth="1"/>
    <col min="5" max="5" width="4.140625" style="1" customWidth="1"/>
    <col min="6" max="6" width="4.28515625" style="1" customWidth="1"/>
    <col min="7" max="7" width="20.28515625" style="1" customWidth="1"/>
    <col min="8" max="8" width="5.28515625" style="1" customWidth="1"/>
    <col min="9" max="9" width="3.5703125" style="1" bestFit="1" customWidth="1"/>
    <col min="10" max="10" width="15.5703125" style="2" bestFit="1" customWidth="1"/>
    <col min="11" max="11" width="12.85546875" style="2" customWidth="1"/>
    <col min="12" max="12" width="14.28515625" style="2" bestFit="1" customWidth="1"/>
    <col min="13" max="13" width="13.140625" style="2" customWidth="1"/>
    <col min="14" max="14" width="14.7109375" style="2" customWidth="1"/>
    <col min="15" max="15" width="14.140625" style="29" customWidth="1"/>
    <col min="16" max="16" width="14.85546875" style="2" customWidth="1"/>
    <col min="17" max="17" width="14.5703125" style="29" customWidth="1"/>
    <col min="18" max="18" width="8.140625" style="2" customWidth="1"/>
    <col min="19" max="19" width="14" style="2" customWidth="1"/>
    <col min="20" max="20" width="13.85546875" style="2" customWidth="1"/>
    <col min="21" max="21" width="19.28515625" style="1" customWidth="1"/>
    <col min="22" max="22" width="16.140625" style="1" bestFit="1" customWidth="1"/>
    <col min="23" max="16384" width="11.42578125" style="1"/>
  </cols>
  <sheetData>
    <row r="1" spans="1:20" ht="18.75" customHeight="1" thickBot="1" x14ac:dyDescent="0.3">
      <c r="A1" s="121" t="s">
        <v>226</v>
      </c>
      <c r="B1" s="122"/>
      <c r="C1" s="122"/>
      <c r="D1" s="122"/>
      <c r="E1" s="122"/>
      <c r="F1" s="123"/>
      <c r="G1" s="84" t="s">
        <v>0</v>
      </c>
      <c r="H1" s="84" t="s">
        <v>1</v>
      </c>
      <c r="I1" s="84" t="s">
        <v>2</v>
      </c>
      <c r="J1" s="94" t="s">
        <v>138</v>
      </c>
      <c r="K1" s="94" t="s">
        <v>139</v>
      </c>
      <c r="L1" s="94" t="s">
        <v>140</v>
      </c>
      <c r="M1" s="84" t="s">
        <v>33</v>
      </c>
      <c r="N1" s="84" t="s">
        <v>213</v>
      </c>
      <c r="O1" s="84" t="s">
        <v>20</v>
      </c>
      <c r="P1" s="84" t="s">
        <v>21</v>
      </c>
      <c r="Q1" s="84" t="s">
        <v>22</v>
      </c>
      <c r="R1" s="84" t="s">
        <v>24</v>
      </c>
      <c r="S1" s="84" t="s">
        <v>23</v>
      </c>
      <c r="T1" s="58" t="s">
        <v>26</v>
      </c>
    </row>
    <row r="2" spans="1:20" s="4" customFormat="1" ht="14.25" customHeight="1" thickTop="1" thickBot="1" x14ac:dyDescent="0.3">
      <c r="A2" s="118" t="s">
        <v>86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20"/>
    </row>
    <row r="3" spans="1:20" s="6" customFormat="1" ht="17.25" customHeight="1" x14ac:dyDescent="0.25">
      <c r="A3" s="11" t="s">
        <v>3</v>
      </c>
      <c r="B3" s="68" t="s">
        <v>34</v>
      </c>
      <c r="C3" s="11" t="s">
        <v>34</v>
      </c>
      <c r="D3" s="34"/>
      <c r="E3" s="34"/>
      <c r="F3" s="34"/>
      <c r="G3" s="35" t="s">
        <v>67</v>
      </c>
      <c r="H3" s="34" t="s">
        <v>5</v>
      </c>
      <c r="I3" s="36">
        <v>10</v>
      </c>
      <c r="J3" s="37">
        <f>J4+J18+J26</f>
        <v>349572344000</v>
      </c>
      <c r="K3" s="37">
        <f t="shared" ref="K3:L3" si="0">K4+K18+K26</f>
        <v>401000000</v>
      </c>
      <c r="L3" s="100">
        <f t="shared" si="0"/>
        <v>401000000</v>
      </c>
      <c r="M3" s="100">
        <f>M4+M18+M26</f>
        <v>349572344000</v>
      </c>
      <c r="N3" s="37">
        <f>N4+N18+N26</f>
        <v>0</v>
      </c>
      <c r="O3" s="37">
        <f>O4+O18+O26</f>
        <v>123509976394</v>
      </c>
      <c r="P3" s="100">
        <f>P4+P18+P26</f>
        <v>226062367606</v>
      </c>
      <c r="Q3" s="37">
        <f>Q4+Q18+Q26</f>
        <v>123509976394</v>
      </c>
      <c r="R3" s="38">
        <f t="shared" ref="R3:R34" si="1">IF(Q3&gt;1,Q3/(M3-N3),0)</f>
        <v>0.35331735623227678</v>
      </c>
      <c r="S3" s="37">
        <f>S4+S18+S26</f>
        <v>118103772894</v>
      </c>
      <c r="T3" s="39">
        <f>T4+T18+T26</f>
        <v>118103772894</v>
      </c>
    </row>
    <row r="4" spans="1:20" s="6" customFormat="1" ht="16.5" customHeight="1" x14ac:dyDescent="0.25">
      <c r="A4" s="11" t="s">
        <v>3</v>
      </c>
      <c r="B4" s="68" t="s">
        <v>34</v>
      </c>
      <c r="C4" s="11" t="s">
        <v>34</v>
      </c>
      <c r="D4" s="11" t="s">
        <v>34</v>
      </c>
      <c r="E4" s="7"/>
      <c r="F4" s="7"/>
      <c r="G4" s="12" t="s">
        <v>38</v>
      </c>
      <c r="H4" s="11" t="s">
        <v>5</v>
      </c>
      <c r="I4" s="13" t="s">
        <v>6</v>
      </c>
      <c r="J4" s="24">
        <f>SUM(J5:J17)</f>
        <v>234438279000</v>
      </c>
      <c r="K4" s="24">
        <f t="shared" ref="K4:L4" si="2">SUM(K5:K17)</f>
        <v>290000000</v>
      </c>
      <c r="L4" s="24">
        <f t="shared" si="2"/>
        <v>290000000</v>
      </c>
      <c r="M4" s="24">
        <f>SUM(M5:M17)</f>
        <v>234438279000</v>
      </c>
      <c r="N4" s="24">
        <f>SUM(N5:N17)</f>
        <v>0</v>
      </c>
      <c r="O4" s="24">
        <f>SUM(O5:O17)</f>
        <v>79882551880</v>
      </c>
      <c r="P4" s="24">
        <f>SUM(P5:P17)</f>
        <v>154555727120</v>
      </c>
      <c r="Q4" s="24">
        <f>SUM(Q5:Q17)</f>
        <v>79882551880</v>
      </c>
      <c r="R4" s="93">
        <f t="shared" si="1"/>
        <v>0.34074022476508625</v>
      </c>
      <c r="S4" s="14">
        <f>SUM(S5:S17)</f>
        <v>79882551880</v>
      </c>
      <c r="T4" s="33">
        <f>SUM(T5:T17)</f>
        <v>79882551880</v>
      </c>
    </row>
    <row r="5" spans="1:20" s="6" customFormat="1" ht="15" customHeight="1" x14ac:dyDescent="0.25">
      <c r="A5" s="7" t="s">
        <v>3</v>
      </c>
      <c r="B5" s="62" t="s">
        <v>34</v>
      </c>
      <c r="C5" s="7" t="s">
        <v>34</v>
      </c>
      <c r="D5" s="7" t="s">
        <v>34</v>
      </c>
      <c r="E5" s="7" t="s">
        <v>35</v>
      </c>
      <c r="F5" s="7" t="s">
        <v>35</v>
      </c>
      <c r="G5" s="23" t="s">
        <v>36</v>
      </c>
      <c r="H5" s="7" t="s">
        <v>5</v>
      </c>
      <c r="I5" s="8">
        <v>10</v>
      </c>
      <c r="J5" s="9">
        <v>171029890100</v>
      </c>
      <c r="K5" s="9"/>
      <c r="L5" s="27">
        <f>290000000</f>
        <v>290000000</v>
      </c>
      <c r="M5" s="27">
        <f>J5+K5-L5</f>
        <v>170739890100</v>
      </c>
      <c r="N5" s="9">
        <v>0</v>
      </c>
      <c r="O5" s="9">
        <v>70381637763</v>
      </c>
      <c r="P5" s="27">
        <f t="shared" ref="P5:P17" si="3">+M5-O5-N5</f>
        <v>100358252337</v>
      </c>
      <c r="Q5" s="9">
        <v>70381637763</v>
      </c>
      <c r="R5" s="25">
        <f>IF(Q5&gt;1,Q5/(M5-N5),0)</f>
        <v>0.41221555034256169</v>
      </c>
      <c r="S5" s="9">
        <v>70381637763</v>
      </c>
      <c r="T5" s="10">
        <v>70381637763</v>
      </c>
    </row>
    <row r="6" spans="1:20" s="6" customFormat="1" ht="15" customHeight="1" x14ac:dyDescent="0.25">
      <c r="A6" s="7" t="s">
        <v>3</v>
      </c>
      <c r="B6" s="62" t="s">
        <v>34</v>
      </c>
      <c r="C6" s="7" t="s">
        <v>34</v>
      </c>
      <c r="D6" s="7" t="s">
        <v>34</v>
      </c>
      <c r="E6" s="7" t="s">
        <v>35</v>
      </c>
      <c r="F6" s="7" t="s">
        <v>37</v>
      </c>
      <c r="G6" s="23" t="s">
        <v>54</v>
      </c>
      <c r="H6" s="7" t="s">
        <v>5</v>
      </c>
      <c r="I6" s="8">
        <v>10</v>
      </c>
      <c r="J6" s="9">
        <v>3368477200</v>
      </c>
      <c r="K6" s="9"/>
      <c r="L6" s="27"/>
      <c r="M6" s="27">
        <f t="shared" ref="M6:M17" si="4">J6+K6-L6</f>
        <v>3368477200</v>
      </c>
      <c r="N6" s="9">
        <v>0</v>
      </c>
      <c r="O6" s="9">
        <v>1485922304</v>
      </c>
      <c r="P6" s="27">
        <f t="shared" si="3"/>
        <v>1882554896</v>
      </c>
      <c r="Q6" s="9">
        <v>1485922304</v>
      </c>
      <c r="R6" s="25">
        <f t="shared" si="1"/>
        <v>0.44112583098380481</v>
      </c>
      <c r="S6" s="9">
        <v>1485922304</v>
      </c>
      <c r="T6" s="10">
        <v>1485922304</v>
      </c>
    </row>
    <row r="7" spans="1:20" s="6" customFormat="1" ht="16.5" customHeight="1" x14ac:dyDescent="0.25">
      <c r="A7" s="7" t="s">
        <v>3</v>
      </c>
      <c r="B7" s="62" t="s">
        <v>34</v>
      </c>
      <c r="C7" s="7" t="s">
        <v>34</v>
      </c>
      <c r="D7" s="7" t="s">
        <v>34</v>
      </c>
      <c r="E7" s="7" t="s">
        <v>35</v>
      </c>
      <c r="F7" s="7" t="s">
        <v>39</v>
      </c>
      <c r="G7" s="23" t="s">
        <v>55</v>
      </c>
      <c r="H7" s="7" t="s">
        <v>5</v>
      </c>
      <c r="I7" s="8">
        <v>10</v>
      </c>
      <c r="J7" s="9">
        <v>2003160000</v>
      </c>
      <c r="K7" s="9">
        <v>290000000</v>
      </c>
      <c r="L7" s="27"/>
      <c r="M7" s="27">
        <f t="shared" si="4"/>
        <v>2293160000</v>
      </c>
      <c r="N7" s="9">
        <v>0</v>
      </c>
      <c r="O7" s="9">
        <v>822796534</v>
      </c>
      <c r="P7" s="27">
        <f t="shared" si="3"/>
        <v>1470363466</v>
      </c>
      <c r="Q7" s="9">
        <v>822796534</v>
      </c>
      <c r="R7" s="25">
        <f t="shared" si="1"/>
        <v>0.35880467738840727</v>
      </c>
      <c r="S7" s="9">
        <v>822796534</v>
      </c>
      <c r="T7" s="10">
        <v>822796534</v>
      </c>
    </row>
    <row r="8" spans="1:20" s="6" customFormat="1" ht="15" customHeight="1" x14ac:dyDescent="0.25">
      <c r="A8" s="7" t="s">
        <v>3</v>
      </c>
      <c r="B8" s="62" t="s">
        <v>34</v>
      </c>
      <c r="C8" s="7" t="s">
        <v>34</v>
      </c>
      <c r="D8" s="7" t="s">
        <v>34</v>
      </c>
      <c r="E8" s="7" t="s">
        <v>35</v>
      </c>
      <c r="F8" s="7" t="s">
        <v>40</v>
      </c>
      <c r="G8" s="23" t="s">
        <v>41</v>
      </c>
      <c r="H8" s="7" t="s">
        <v>5</v>
      </c>
      <c r="I8" s="8">
        <v>10</v>
      </c>
      <c r="J8" s="9">
        <v>118207300</v>
      </c>
      <c r="K8" s="9"/>
      <c r="L8" s="27"/>
      <c r="M8" s="27">
        <f t="shared" si="4"/>
        <v>118207300</v>
      </c>
      <c r="N8" s="9">
        <v>0</v>
      </c>
      <c r="O8" s="9">
        <v>79864913</v>
      </c>
      <c r="P8" s="27">
        <f t="shared" si="3"/>
        <v>38342387</v>
      </c>
      <c r="Q8" s="9">
        <v>79864913</v>
      </c>
      <c r="R8" s="25">
        <f t="shared" si="1"/>
        <v>0.67563435591541299</v>
      </c>
      <c r="S8" s="9">
        <v>79864913</v>
      </c>
      <c r="T8" s="10">
        <v>79864913</v>
      </c>
    </row>
    <row r="9" spans="1:20" s="6" customFormat="1" ht="15" customHeight="1" x14ac:dyDescent="0.25">
      <c r="A9" s="7" t="s">
        <v>3</v>
      </c>
      <c r="B9" s="62" t="s">
        <v>34</v>
      </c>
      <c r="C9" s="7" t="s">
        <v>34</v>
      </c>
      <c r="D9" s="7" t="s">
        <v>34</v>
      </c>
      <c r="E9" s="7" t="s">
        <v>35</v>
      </c>
      <c r="F9" s="7" t="s">
        <v>42</v>
      </c>
      <c r="G9" s="23" t="s">
        <v>11</v>
      </c>
      <c r="H9" s="7" t="s">
        <v>5</v>
      </c>
      <c r="I9" s="8">
        <v>10</v>
      </c>
      <c r="J9" s="9">
        <v>495633000</v>
      </c>
      <c r="K9" s="9"/>
      <c r="L9" s="27"/>
      <c r="M9" s="27">
        <f t="shared" si="4"/>
        <v>495633000</v>
      </c>
      <c r="N9" s="9">
        <v>0</v>
      </c>
      <c r="O9" s="9">
        <v>404995262</v>
      </c>
      <c r="P9" s="27">
        <f t="shared" si="3"/>
        <v>90637738</v>
      </c>
      <c r="Q9" s="9">
        <v>404995262</v>
      </c>
      <c r="R9" s="25">
        <f t="shared" si="1"/>
        <v>0.81712731396012772</v>
      </c>
      <c r="S9" s="9">
        <v>404995262</v>
      </c>
      <c r="T9" s="10">
        <v>404995262</v>
      </c>
    </row>
    <row r="10" spans="1:20" s="6" customFormat="1" ht="15" customHeight="1" x14ac:dyDescent="0.25">
      <c r="A10" s="7" t="s">
        <v>3</v>
      </c>
      <c r="B10" s="62" t="s">
        <v>34</v>
      </c>
      <c r="C10" s="7" t="s">
        <v>34</v>
      </c>
      <c r="D10" s="7" t="s">
        <v>34</v>
      </c>
      <c r="E10" s="7" t="s">
        <v>35</v>
      </c>
      <c r="F10" s="7" t="s">
        <v>43</v>
      </c>
      <c r="G10" s="23" t="s">
        <v>12</v>
      </c>
      <c r="H10" s="7" t="s">
        <v>5</v>
      </c>
      <c r="I10" s="8">
        <v>10</v>
      </c>
      <c r="J10" s="9">
        <v>8112947300</v>
      </c>
      <c r="K10" s="9"/>
      <c r="L10" s="27"/>
      <c r="M10" s="27">
        <f t="shared" si="4"/>
        <v>8112947300</v>
      </c>
      <c r="N10" s="9">
        <v>0</v>
      </c>
      <c r="O10" s="9">
        <v>132846321</v>
      </c>
      <c r="P10" s="27">
        <f t="shared" si="3"/>
        <v>7980100979</v>
      </c>
      <c r="Q10" s="9">
        <v>132846321</v>
      </c>
      <c r="R10" s="25">
        <f t="shared" si="1"/>
        <v>1.6374606673458855E-2</v>
      </c>
      <c r="S10" s="9">
        <v>132846321</v>
      </c>
      <c r="T10" s="10">
        <v>132846321</v>
      </c>
    </row>
    <row r="11" spans="1:20" s="6" customFormat="1" ht="16.5" customHeight="1" x14ac:dyDescent="0.25">
      <c r="A11" s="7" t="s">
        <v>3</v>
      </c>
      <c r="B11" s="62" t="s">
        <v>34</v>
      </c>
      <c r="C11" s="7" t="s">
        <v>34</v>
      </c>
      <c r="D11" s="7" t="s">
        <v>34</v>
      </c>
      <c r="E11" s="7" t="s">
        <v>35</v>
      </c>
      <c r="F11" s="7" t="s">
        <v>44</v>
      </c>
      <c r="G11" s="23" t="s">
        <v>56</v>
      </c>
      <c r="H11" s="7" t="s">
        <v>5</v>
      </c>
      <c r="I11" s="8">
        <v>10</v>
      </c>
      <c r="J11" s="9">
        <v>5605238900</v>
      </c>
      <c r="K11" s="9"/>
      <c r="L11" s="27"/>
      <c r="M11" s="27">
        <f t="shared" si="4"/>
        <v>5605238900</v>
      </c>
      <c r="N11" s="9">
        <v>0</v>
      </c>
      <c r="O11" s="9">
        <v>3019708001</v>
      </c>
      <c r="P11" s="27">
        <f t="shared" si="3"/>
        <v>2585530899</v>
      </c>
      <c r="Q11" s="9">
        <v>3019708001</v>
      </c>
      <c r="R11" s="25">
        <f t="shared" si="1"/>
        <v>0.5387295804644473</v>
      </c>
      <c r="S11" s="9">
        <v>3019708001</v>
      </c>
      <c r="T11" s="10">
        <v>3019708001</v>
      </c>
    </row>
    <row r="12" spans="1:20" s="6" customFormat="1" ht="16.5" customHeight="1" x14ac:dyDescent="0.25">
      <c r="A12" s="7" t="s">
        <v>3</v>
      </c>
      <c r="B12" s="62" t="s">
        <v>34</v>
      </c>
      <c r="C12" s="7" t="s">
        <v>34</v>
      </c>
      <c r="D12" s="7" t="s">
        <v>34</v>
      </c>
      <c r="E12" s="7" t="s">
        <v>35</v>
      </c>
      <c r="F12" s="7" t="s">
        <v>45</v>
      </c>
      <c r="G12" s="23" t="s">
        <v>57</v>
      </c>
      <c r="H12" s="7" t="s">
        <v>5</v>
      </c>
      <c r="I12" s="8">
        <v>10</v>
      </c>
      <c r="J12" s="9">
        <v>1463012500</v>
      </c>
      <c r="K12" s="9"/>
      <c r="L12" s="27"/>
      <c r="M12" s="27">
        <f t="shared" si="4"/>
        <v>1463012500</v>
      </c>
      <c r="N12" s="9">
        <v>0</v>
      </c>
      <c r="O12" s="9">
        <v>586255897</v>
      </c>
      <c r="P12" s="27">
        <f t="shared" si="3"/>
        <v>876756603</v>
      </c>
      <c r="Q12" s="9">
        <v>586255897</v>
      </c>
      <c r="R12" s="25">
        <f t="shared" si="1"/>
        <v>0.40071831033569433</v>
      </c>
      <c r="S12" s="9">
        <v>586255897</v>
      </c>
      <c r="T12" s="10">
        <v>586255897</v>
      </c>
    </row>
    <row r="13" spans="1:20" s="6" customFormat="1" ht="16.5" customHeight="1" x14ac:dyDescent="0.25">
      <c r="A13" s="7" t="s">
        <v>3</v>
      </c>
      <c r="B13" s="62" t="s">
        <v>34</v>
      </c>
      <c r="C13" s="7" t="s">
        <v>34</v>
      </c>
      <c r="D13" s="7" t="s">
        <v>34</v>
      </c>
      <c r="E13" s="7" t="s">
        <v>35</v>
      </c>
      <c r="F13" s="7" t="s">
        <v>46</v>
      </c>
      <c r="G13" s="23" t="s">
        <v>14</v>
      </c>
      <c r="H13" s="7" t="s">
        <v>5</v>
      </c>
      <c r="I13" s="8">
        <v>10</v>
      </c>
      <c r="J13" s="9">
        <v>18145035800</v>
      </c>
      <c r="K13" s="9"/>
      <c r="L13" s="27"/>
      <c r="M13" s="27">
        <f t="shared" si="4"/>
        <v>18145035800</v>
      </c>
      <c r="N13" s="9">
        <v>0</v>
      </c>
      <c r="O13" s="9">
        <v>61285980</v>
      </c>
      <c r="P13" s="27">
        <f t="shared" si="3"/>
        <v>18083749820</v>
      </c>
      <c r="Q13" s="9">
        <v>61285980</v>
      </c>
      <c r="R13" s="25">
        <f t="shared" si="1"/>
        <v>3.3775618122505991E-3</v>
      </c>
      <c r="S13" s="9">
        <v>61285980</v>
      </c>
      <c r="T13" s="10">
        <v>61285980</v>
      </c>
    </row>
    <row r="14" spans="1:20" s="6" customFormat="1" ht="16.5" customHeight="1" x14ac:dyDescent="0.25">
      <c r="A14" s="7" t="s">
        <v>3</v>
      </c>
      <c r="B14" s="62" t="s">
        <v>34</v>
      </c>
      <c r="C14" s="7" t="s">
        <v>34</v>
      </c>
      <c r="D14" s="7" t="s">
        <v>34</v>
      </c>
      <c r="E14" s="7" t="s">
        <v>35</v>
      </c>
      <c r="F14" s="7" t="s">
        <v>47</v>
      </c>
      <c r="G14" s="23" t="s">
        <v>13</v>
      </c>
      <c r="H14" s="7" t="s">
        <v>5</v>
      </c>
      <c r="I14" s="8">
        <v>10</v>
      </c>
      <c r="J14" s="9">
        <v>9194783600</v>
      </c>
      <c r="K14" s="9"/>
      <c r="L14" s="27"/>
      <c r="M14" s="27">
        <f t="shared" si="4"/>
        <v>9194783600</v>
      </c>
      <c r="N14" s="9">
        <v>0</v>
      </c>
      <c r="O14" s="9">
        <v>2851758123</v>
      </c>
      <c r="P14" s="27">
        <f t="shared" si="3"/>
        <v>6343025477</v>
      </c>
      <c r="Q14" s="9">
        <v>2851758123</v>
      </c>
      <c r="R14" s="25">
        <f t="shared" si="1"/>
        <v>0.3101495638244276</v>
      </c>
      <c r="S14" s="9">
        <v>2851758123</v>
      </c>
      <c r="T14" s="48">
        <v>2851758123</v>
      </c>
    </row>
    <row r="15" spans="1:20" s="6" customFormat="1" ht="16.5" customHeight="1" x14ac:dyDescent="0.25">
      <c r="A15" s="7" t="s">
        <v>3</v>
      </c>
      <c r="B15" s="62" t="s">
        <v>34</v>
      </c>
      <c r="C15" s="7" t="s">
        <v>34</v>
      </c>
      <c r="D15" s="7" t="s">
        <v>34</v>
      </c>
      <c r="E15" s="7" t="s">
        <v>37</v>
      </c>
      <c r="F15" s="7" t="s">
        <v>45</v>
      </c>
      <c r="G15" s="23" t="s">
        <v>58</v>
      </c>
      <c r="H15" s="7" t="s">
        <v>5</v>
      </c>
      <c r="I15" s="8">
        <v>10</v>
      </c>
      <c r="J15" s="9">
        <v>40253000</v>
      </c>
      <c r="K15" s="9"/>
      <c r="L15" s="27"/>
      <c r="M15" s="27">
        <f t="shared" si="4"/>
        <v>40253000</v>
      </c>
      <c r="N15" s="9">
        <v>0</v>
      </c>
      <c r="O15" s="9">
        <v>16486556</v>
      </c>
      <c r="P15" s="27">
        <f t="shared" si="3"/>
        <v>23766444</v>
      </c>
      <c r="Q15" s="9">
        <v>16486556</v>
      </c>
      <c r="R15" s="25">
        <f t="shared" si="1"/>
        <v>0.40957334857029287</v>
      </c>
      <c r="S15" s="9">
        <v>16486556</v>
      </c>
      <c r="T15" s="48">
        <v>16486556</v>
      </c>
    </row>
    <row r="16" spans="1:20" s="6" customFormat="1" ht="16.5" customHeight="1" x14ac:dyDescent="0.25">
      <c r="A16" s="7" t="s">
        <v>3</v>
      </c>
      <c r="B16" s="62" t="s">
        <v>34</v>
      </c>
      <c r="C16" s="7" t="s">
        <v>34</v>
      </c>
      <c r="D16" s="7" t="s">
        <v>34</v>
      </c>
      <c r="E16" s="7" t="s">
        <v>37</v>
      </c>
      <c r="F16" s="7" t="s">
        <v>48</v>
      </c>
      <c r="G16" s="23" t="s">
        <v>59</v>
      </c>
      <c r="H16" s="7" t="s">
        <v>5</v>
      </c>
      <c r="I16" s="8">
        <v>10</v>
      </c>
      <c r="J16" s="9">
        <v>17544200</v>
      </c>
      <c r="K16" s="9"/>
      <c r="L16" s="27"/>
      <c r="M16" s="27">
        <f t="shared" si="4"/>
        <v>17544200</v>
      </c>
      <c r="N16" s="27">
        <v>0</v>
      </c>
      <c r="O16" s="9">
        <v>1575547</v>
      </c>
      <c r="P16" s="27">
        <f t="shared" si="3"/>
        <v>15968653</v>
      </c>
      <c r="Q16" s="9">
        <v>1575547</v>
      </c>
      <c r="R16" s="25">
        <f t="shared" si="1"/>
        <v>8.9804436793926204E-2</v>
      </c>
      <c r="S16" s="9">
        <v>1575547</v>
      </c>
      <c r="T16" s="48">
        <v>1575547</v>
      </c>
    </row>
    <row r="17" spans="1:21" s="6" customFormat="1" ht="16.5" customHeight="1" x14ac:dyDescent="0.25">
      <c r="A17" s="7" t="s">
        <v>3</v>
      </c>
      <c r="B17" s="62" t="s">
        <v>34</v>
      </c>
      <c r="C17" s="7" t="s">
        <v>34</v>
      </c>
      <c r="D17" s="7" t="s">
        <v>34</v>
      </c>
      <c r="E17" s="7" t="s">
        <v>37</v>
      </c>
      <c r="F17" s="7" t="s">
        <v>49</v>
      </c>
      <c r="G17" s="23" t="s">
        <v>60</v>
      </c>
      <c r="H17" s="7" t="s">
        <v>5</v>
      </c>
      <c r="I17" s="8">
        <v>10</v>
      </c>
      <c r="J17" s="9">
        <v>14844096100</v>
      </c>
      <c r="K17" s="9"/>
      <c r="L17" s="27"/>
      <c r="M17" s="27">
        <f t="shared" si="4"/>
        <v>14844096100</v>
      </c>
      <c r="N17" s="9">
        <v>0</v>
      </c>
      <c r="O17" s="9">
        <v>37418679</v>
      </c>
      <c r="P17" s="27">
        <f t="shared" si="3"/>
        <v>14806677421</v>
      </c>
      <c r="Q17" s="9">
        <v>37418679</v>
      </c>
      <c r="R17" s="25">
        <f t="shared" si="1"/>
        <v>2.5207785471019688E-3</v>
      </c>
      <c r="S17" s="27">
        <v>37418679</v>
      </c>
      <c r="T17" s="48">
        <v>37418679</v>
      </c>
    </row>
    <row r="18" spans="1:21" s="45" customFormat="1" ht="16.5" customHeight="1" x14ac:dyDescent="0.25">
      <c r="A18" s="11" t="s">
        <v>3</v>
      </c>
      <c r="B18" s="68" t="s">
        <v>34</v>
      </c>
      <c r="C18" s="11" t="s">
        <v>34</v>
      </c>
      <c r="D18" s="11" t="s">
        <v>50</v>
      </c>
      <c r="E18" s="11"/>
      <c r="F18" s="11"/>
      <c r="G18" s="12" t="s">
        <v>68</v>
      </c>
      <c r="H18" s="11" t="s">
        <v>5</v>
      </c>
      <c r="I18" s="114">
        <v>10</v>
      </c>
      <c r="J18" s="24">
        <f>SUM(J19:J25)</f>
        <v>96379995000</v>
      </c>
      <c r="K18" s="24">
        <f t="shared" ref="K18:L18" si="5">SUM(K19:K25)</f>
        <v>0</v>
      </c>
      <c r="L18" s="24">
        <f t="shared" si="5"/>
        <v>0</v>
      </c>
      <c r="M18" s="24">
        <f>SUM(M19:M25)</f>
        <v>96379995000</v>
      </c>
      <c r="N18" s="14">
        <f>SUM(N19:N25)</f>
        <v>0</v>
      </c>
      <c r="O18" s="14">
        <f>SUM(O19:O25)</f>
        <v>37720283889</v>
      </c>
      <c r="P18" s="24">
        <f>SUM(P19:P25)</f>
        <v>58659711111</v>
      </c>
      <c r="Q18" s="14">
        <f>SUM(Q19:Q25)</f>
        <v>37720283889</v>
      </c>
      <c r="R18" s="26">
        <f t="shared" si="1"/>
        <v>0.39137046945271164</v>
      </c>
      <c r="S18" s="14">
        <f>SUM(S19:S25)</f>
        <v>32314080389</v>
      </c>
      <c r="T18" s="22">
        <f>SUM(T19:T25)</f>
        <v>32314080389</v>
      </c>
      <c r="U18" s="103"/>
    </row>
    <row r="19" spans="1:21" s="6" customFormat="1" ht="16.5" customHeight="1" x14ac:dyDescent="0.25">
      <c r="A19" s="7" t="s">
        <v>3</v>
      </c>
      <c r="B19" s="62" t="s">
        <v>34</v>
      </c>
      <c r="C19" s="7" t="s">
        <v>34</v>
      </c>
      <c r="D19" s="7" t="s">
        <v>50</v>
      </c>
      <c r="E19" s="7" t="s">
        <v>35</v>
      </c>
      <c r="F19" s="7"/>
      <c r="G19" s="23" t="s">
        <v>195</v>
      </c>
      <c r="H19" s="7" t="s">
        <v>5</v>
      </c>
      <c r="I19" s="8">
        <v>10</v>
      </c>
      <c r="J19" s="9">
        <v>25795744700</v>
      </c>
      <c r="K19" s="9"/>
      <c r="L19" s="27"/>
      <c r="M19" s="27">
        <f>J19+K19-L19</f>
        <v>25795744700</v>
      </c>
      <c r="N19" s="27">
        <v>0</v>
      </c>
      <c r="O19" s="9">
        <v>10016463000</v>
      </c>
      <c r="P19" s="27">
        <f t="shared" ref="P19:P25" si="6">+M19-O19-N19</f>
        <v>15779281700</v>
      </c>
      <c r="Q19" s="9">
        <v>10016463000</v>
      </c>
      <c r="R19" s="25">
        <f t="shared" si="1"/>
        <v>0.38829904375662394</v>
      </c>
      <c r="S19" s="9">
        <v>10016463000</v>
      </c>
      <c r="T19" s="48">
        <v>10016463000</v>
      </c>
    </row>
    <row r="20" spans="1:21" s="6" customFormat="1" ht="16.5" customHeight="1" x14ac:dyDescent="0.25">
      <c r="A20" s="7" t="s">
        <v>3</v>
      </c>
      <c r="B20" s="62" t="s">
        <v>34</v>
      </c>
      <c r="C20" s="7" t="s">
        <v>34</v>
      </c>
      <c r="D20" s="7" t="s">
        <v>50</v>
      </c>
      <c r="E20" s="7" t="s">
        <v>37</v>
      </c>
      <c r="F20" s="7"/>
      <c r="G20" s="23" t="s">
        <v>196</v>
      </c>
      <c r="H20" s="7" t="s">
        <v>5</v>
      </c>
      <c r="I20" s="8">
        <v>10</v>
      </c>
      <c r="J20" s="9">
        <v>18459485800</v>
      </c>
      <c r="K20" s="9"/>
      <c r="L20" s="27"/>
      <c r="M20" s="27">
        <f t="shared" ref="M20:M24" si="7">J20+K20-L20</f>
        <v>18459485800</v>
      </c>
      <c r="N20" s="9">
        <v>0</v>
      </c>
      <c r="O20" s="9">
        <v>7046617100</v>
      </c>
      <c r="P20" s="27">
        <f t="shared" si="6"/>
        <v>11412868700</v>
      </c>
      <c r="Q20" s="9">
        <v>7046617100</v>
      </c>
      <c r="R20" s="25">
        <f t="shared" si="1"/>
        <v>0.38173420301880784</v>
      </c>
      <c r="S20" s="9">
        <v>7046617100</v>
      </c>
      <c r="T20" s="48">
        <v>7046617100</v>
      </c>
    </row>
    <row r="21" spans="1:21" s="6" customFormat="1" ht="16.5" customHeight="1" x14ac:dyDescent="0.25">
      <c r="A21" s="7" t="s">
        <v>3</v>
      </c>
      <c r="B21" s="62" t="s">
        <v>34</v>
      </c>
      <c r="C21" s="7" t="s">
        <v>34</v>
      </c>
      <c r="D21" s="7" t="s">
        <v>50</v>
      </c>
      <c r="E21" s="7" t="s">
        <v>39</v>
      </c>
      <c r="F21" s="7"/>
      <c r="G21" s="23" t="s">
        <v>104</v>
      </c>
      <c r="H21" s="7" t="s">
        <v>5</v>
      </c>
      <c r="I21" s="8">
        <v>10</v>
      </c>
      <c r="J21" s="9">
        <v>21878763500</v>
      </c>
      <c r="K21" s="9"/>
      <c r="L21" s="27"/>
      <c r="M21" s="27">
        <f t="shared" si="7"/>
        <v>21878763500</v>
      </c>
      <c r="N21" s="9">
        <v>0</v>
      </c>
      <c r="O21" s="9">
        <v>3749084289</v>
      </c>
      <c r="P21" s="27">
        <f t="shared" si="6"/>
        <v>18129679211</v>
      </c>
      <c r="Q21" s="9">
        <v>3749084289</v>
      </c>
      <c r="R21" s="25">
        <f t="shared" si="1"/>
        <v>0.17135722907741108</v>
      </c>
      <c r="S21" s="9">
        <v>3749084289</v>
      </c>
      <c r="T21" s="48">
        <v>3749084289</v>
      </c>
    </row>
    <row r="22" spans="1:21" s="6" customFormat="1" ht="16.5" customHeight="1" x14ac:dyDescent="0.25">
      <c r="A22" s="7" t="s">
        <v>3</v>
      </c>
      <c r="B22" s="62" t="s">
        <v>34</v>
      </c>
      <c r="C22" s="7" t="s">
        <v>34</v>
      </c>
      <c r="D22" s="7" t="s">
        <v>50</v>
      </c>
      <c r="E22" s="7" t="s">
        <v>40</v>
      </c>
      <c r="F22" s="7"/>
      <c r="G22" s="23" t="s">
        <v>197</v>
      </c>
      <c r="H22" s="7" t="s">
        <v>5</v>
      </c>
      <c r="I22" s="8">
        <v>10</v>
      </c>
      <c r="J22" s="9">
        <v>9372572600</v>
      </c>
      <c r="K22" s="9"/>
      <c r="L22" s="27"/>
      <c r="M22" s="27">
        <f t="shared" si="7"/>
        <v>9372572600</v>
      </c>
      <c r="N22" s="9">
        <v>0</v>
      </c>
      <c r="O22" s="9">
        <v>3451044200</v>
      </c>
      <c r="P22" s="27">
        <f t="shared" si="6"/>
        <v>5921528400</v>
      </c>
      <c r="Q22" s="9">
        <v>3451044200</v>
      </c>
      <c r="R22" s="25">
        <f t="shared" si="1"/>
        <v>0.36820671839874569</v>
      </c>
      <c r="S22" s="9">
        <v>3451044200</v>
      </c>
      <c r="T22" s="48">
        <v>3451044200</v>
      </c>
    </row>
    <row r="23" spans="1:21" s="6" customFormat="1" ht="16.5" customHeight="1" x14ac:dyDescent="0.25">
      <c r="A23" s="7" t="s">
        <v>3</v>
      </c>
      <c r="B23" s="62" t="s">
        <v>34</v>
      </c>
      <c r="C23" s="7" t="s">
        <v>34</v>
      </c>
      <c r="D23" s="7" t="s">
        <v>50</v>
      </c>
      <c r="E23" s="7" t="s">
        <v>42</v>
      </c>
      <c r="F23" s="7"/>
      <c r="G23" s="23" t="s">
        <v>61</v>
      </c>
      <c r="H23" s="7" t="s">
        <v>5</v>
      </c>
      <c r="I23" s="8" t="s">
        <v>6</v>
      </c>
      <c r="J23" s="9">
        <v>9142712700</v>
      </c>
      <c r="K23" s="9"/>
      <c r="L23" s="27"/>
      <c r="M23" s="27">
        <f t="shared" si="7"/>
        <v>9142712700</v>
      </c>
      <c r="N23" s="9">
        <v>0</v>
      </c>
      <c r="O23" s="9">
        <v>9142712700</v>
      </c>
      <c r="P23" s="27">
        <f t="shared" si="6"/>
        <v>0</v>
      </c>
      <c r="Q23" s="9">
        <v>9142712700</v>
      </c>
      <c r="R23" s="25">
        <f t="shared" si="1"/>
        <v>1</v>
      </c>
      <c r="S23" s="9">
        <v>3736509200</v>
      </c>
      <c r="T23" s="48">
        <v>3736509200</v>
      </c>
    </row>
    <row r="24" spans="1:21" s="6" customFormat="1" ht="16.5" customHeight="1" x14ac:dyDescent="0.25">
      <c r="A24" s="7" t="s">
        <v>3</v>
      </c>
      <c r="B24" s="62" t="s">
        <v>34</v>
      </c>
      <c r="C24" s="7" t="s">
        <v>34</v>
      </c>
      <c r="D24" s="7" t="s">
        <v>50</v>
      </c>
      <c r="E24" s="7" t="s">
        <v>43</v>
      </c>
      <c r="F24" s="7"/>
      <c r="G24" s="23" t="s">
        <v>15</v>
      </c>
      <c r="H24" s="7" t="s">
        <v>5</v>
      </c>
      <c r="I24" s="8" t="s">
        <v>6</v>
      </c>
      <c r="J24" s="9">
        <v>6994429400</v>
      </c>
      <c r="K24" s="9"/>
      <c r="L24" s="27"/>
      <c r="M24" s="27">
        <f t="shared" si="7"/>
        <v>6994429400</v>
      </c>
      <c r="N24" s="9">
        <v>0</v>
      </c>
      <c r="O24" s="9">
        <v>2588496000</v>
      </c>
      <c r="P24" s="27">
        <f t="shared" si="6"/>
        <v>4405933400</v>
      </c>
      <c r="Q24" s="9">
        <v>2588496000</v>
      </c>
      <c r="R24" s="25">
        <f t="shared" si="1"/>
        <v>0.37007965224439893</v>
      </c>
      <c r="S24" s="9">
        <v>2588496000</v>
      </c>
      <c r="T24" s="48">
        <v>2588496000</v>
      </c>
    </row>
    <row r="25" spans="1:21" s="6" customFormat="1" ht="16.5" customHeight="1" x14ac:dyDescent="0.25">
      <c r="A25" s="7" t="s">
        <v>3</v>
      </c>
      <c r="B25" s="7" t="s">
        <v>34</v>
      </c>
      <c r="C25" s="7" t="s">
        <v>34</v>
      </c>
      <c r="D25" s="7" t="s">
        <v>50</v>
      </c>
      <c r="E25" s="7" t="s">
        <v>44</v>
      </c>
      <c r="F25" s="7"/>
      <c r="G25" s="23" t="s">
        <v>16</v>
      </c>
      <c r="H25" s="7" t="s">
        <v>5</v>
      </c>
      <c r="I25" s="8" t="s">
        <v>6</v>
      </c>
      <c r="J25" s="9">
        <v>4736286300</v>
      </c>
      <c r="K25" s="9"/>
      <c r="L25" s="27"/>
      <c r="M25" s="27">
        <f>J25+K25-L25</f>
        <v>4736286300</v>
      </c>
      <c r="N25" s="9">
        <v>0</v>
      </c>
      <c r="O25" s="9">
        <v>1725866600</v>
      </c>
      <c r="P25" s="27">
        <f t="shared" si="6"/>
        <v>3010419700</v>
      </c>
      <c r="Q25" s="9">
        <v>1725866600</v>
      </c>
      <c r="R25" s="25">
        <f t="shared" si="1"/>
        <v>0.36439237214186143</v>
      </c>
      <c r="S25" s="9">
        <v>1725866600</v>
      </c>
      <c r="T25" s="48">
        <v>1725866600</v>
      </c>
    </row>
    <row r="26" spans="1:21" s="45" customFormat="1" ht="16.5" customHeight="1" x14ac:dyDescent="0.25">
      <c r="A26" s="11" t="s">
        <v>3</v>
      </c>
      <c r="B26" s="11" t="s">
        <v>34</v>
      </c>
      <c r="C26" s="11" t="s">
        <v>34</v>
      </c>
      <c r="D26" s="11" t="s">
        <v>51</v>
      </c>
      <c r="E26" s="11"/>
      <c r="F26" s="11"/>
      <c r="G26" s="12" t="s">
        <v>69</v>
      </c>
      <c r="H26" s="11" t="s">
        <v>5</v>
      </c>
      <c r="I26" s="13" t="s">
        <v>6</v>
      </c>
      <c r="J26" s="24">
        <f>J27+J28+J29+J30+J31+J32</f>
        <v>18754070000</v>
      </c>
      <c r="K26" s="24">
        <f t="shared" ref="K26:L26" si="8">K27+K28+K29+K30+K31+K32</f>
        <v>111000000</v>
      </c>
      <c r="L26" s="24">
        <f t="shared" si="8"/>
        <v>111000000</v>
      </c>
      <c r="M26" s="24">
        <f>M27+M28+M29+M30+M31+M32</f>
        <v>18754070000</v>
      </c>
      <c r="N26" s="14">
        <v>0</v>
      </c>
      <c r="O26" s="14">
        <f>O27+O28+O29+O30+O31+O32</f>
        <v>5907140625</v>
      </c>
      <c r="P26" s="24">
        <f>P27+P28+P29+P30+P31+P32</f>
        <v>12846929375</v>
      </c>
      <c r="Q26" s="14">
        <f>Q27+Q28+Q29+Q30+Q31+Q32</f>
        <v>5907140625</v>
      </c>
      <c r="R26" s="26">
        <f>IF(Q26&gt;1,Q26/(M26-N26),0)</f>
        <v>0.31497912853050031</v>
      </c>
      <c r="S26" s="24">
        <f>S27+S28+S29+S30+S31+S32</f>
        <v>5907140625</v>
      </c>
      <c r="T26" s="22">
        <f>T27+T28+T29+T30+T31+T32</f>
        <v>5907140625</v>
      </c>
    </row>
    <row r="27" spans="1:21" s="6" customFormat="1" ht="16.5" customHeight="1" x14ac:dyDescent="0.25">
      <c r="A27" s="7" t="s">
        <v>3</v>
      </c>
      <c r="B27" s="7" t="s">
        <v>34</v>
      </c>
      <c r="C27" s="7" t="s">
        <v>34</v>
      </c>
      <c r="D27" s="7" t="s">
        <v>51</v>
      </c>
      <c r="E27" s="7" t="s">
        <v>35</v>
      </c>
      <c r="F27" s="7" t="s">
        <v>35</v>
      </c>
      <c r="G27" s="23" t="s">
        <v>132</v>
      </c>
      <c r="H27" s="7" t="s">
        <v>5</v>
      </c>
      <c r="I27" s="8" t="s">
        <v>6</v>
      </c>
      <c r="J27" s="9">
        <v>15324639437</v>
      </c>
      <c r="K27" s="9"/>
      <c r="L27" s="27">
        <v>111000000</v>
      </c>
      <c r="M27" s="27">
        <f>J27+K27-L27</f>
        <v>15213639437</v>
      </c>
      <c r="N27" s="9">
        <v>0</v>
      </c>
      <c r="O27" s="9">
        <v>4511537596</v>
      </c>
      <c r="P27" s="27">
        <f t="shared" ref="P27:P32" si="9">+M27-O27-N27</f>
        <v>10702101841</v>
      </c>
      <c r="Q27" s="9">
        <v>4511537596</v>
      </c>
      <c r="R27" s="25">
        <f t="shared" si="1"/>
        <v>0.29654558428851768</v>
      </c>
      <c r="S27" s="9">
        <v>4511537596</v>
      </c>
      <c r="T27" s="48">
        <v>4511537596</v>
      </c>
    </row>
    <row r="28" spans="1:21" s="6" customFormat="1" ht="16.5" customHeight="1" x14ac:dyDescent="0.25">
      <c r="A28" s="7" t="s">
        <v>3</v>
      </c>
      <c r="B28" s="7" t="s">
        <v>34</v>
      </c>
      <c r="C28" s="7" t="s">
        <v>34</v>
      </c>
      <c r="D28" s="7" t="s">
        <v>51</v>
      </c>
      <c r="E28" s="7" t="s">
        <v>35</v>
      </c>
      <c r="F28" s="62" t="s">
        <v>37</v>
      </c>
      <c r="G28" s="23" t="s">
        <v>62</v>
      </c>
      <c r="H28" s="7" t="s">
        <v>5</v>
      </c>
      <c r="I28" s="8" t="s">
        <v>6</v>
      </c>
      <c r="J28" s="9">
        <v>311641107</v>
      </c>
      <c r="K28" s="9"/>
      <c r="L28" s="27"/>
      <c r="M28" s="27">
        <f t="shared" ref="M28:M32" si="10">J28+K28-L28</f>
        <v>311641107</v>
      </c>
      <c r="N28" s="9">
        <v>0</v>
      </c>
      <c r="O28" s="9">
        <v>231986937</v>
      </c>
      <c r="P28" s="27">
        <f t="shared" si="9"/>
        <v>79654170</v>
      </c>
      <c r="Q28" s="9">
        <v>231986937</v>
      </c>
      <c r="R28" s="25">
        <f t="shared" si="1"/>
        <v>0.74440416167562906</v>
      </c>
      <c r="S28" s="9">
        <v>231986937</v>
      </c>
      <c r="T28" s="48">
        <v>231986937</v>
      </c>
    </row>
    <row r="29" spans="1:21" s="6" customFormat="1" ht="16.5" customHeight="1" x14ac:dyDescent="0.25">
      <c r="A29" s="7" t="s">
        <v>3</v>
      </c>
      <c r="B29" s="62" t="s">
        <v>34</v>
      </c>
      <c r="C29" s="7" t="s">
        <v>34</v>
      </c>
      <c r="D29" s="7" t="s">
        <v>51</v>
      </c>
      <c r="E29" s="7" t="s">
        <v>35</v>
      </c>
      <c r="F29" s="62" t="s">
        <v>39</v>
      </c>
      <c r="G29" s="23" t="s">
        <v>63</v>
      </c>
      <c r="H29" s="7" t="s">
        <v>5</v>
      </c>
      <c r="I29" s="8" t="s">
        <v>6</v>
      </c>
      <c r="J29" s="9">
        <v>1048453709</v>
      </c>
      <c r="K29" s="9"/>
      <c r="L29" s="27"/>
      <c r="M29" s="27">
        <f t="shared" si="10"/>
        <v>1048453709</v>
      </c>
      <c r="N29" s="9">
        <v>0</v>
      </c>
      <c r="O29" s="9">
        <v>328272811</v>
      </c>
      <c r="P29" s="27">
        <f t="shared" si="9"/>
        <v>720180898</v>
      </c>
      <c r="Q29" s="9">
        <v>328272811</v>
      </c>
      <c r="R29" s="25">
        <f t="shared" si="1"/>
        <v>0.31310186437616006</v>
      </c>
      <c r="S29" s="9">
        <v>328272811</v>
      </c>
      <c r="T29" s="48">
        <v>328272811</v>
      </c>
    </row>
    <row r="30" spans="1:21" s="6" customFormat="1" ht="16.5" customHeight="1" x14ac:dyDescent="0.25">
      <c r="A30" s="7" t="s">
        <v>3</v>
      </c>
      <c r="B30" s="7" t="s">
        <v>34</v>
      </c>
      <c r="C30" s="7" t="s">
        <v>34</v>
      </c>
      <c r="D30" s="7" t="s">
        <v>51</v>
      </c>
      <c r="E30" s="7" t="s">
        <v>37</v>
      </c>
      <c r="F30" s="7"/>
      <c r="G30" s="23" t="s">
        <v>64</v>
      </c>
      <c r="H30" s="7" t="s">
        <v>5</v>
      </c>
      <c r="I30" s="8" t="s">
        <v>6</v>
      </c>
      <c r="J30" s="9">
        <v>454335960</v>
      </c>
      <c r="K30" s="9">
        <v>32000000</v>
      </c>
      <c r="L30" s="27"/>
      <c r="M30" s="27">
        <f t="shared" si="10"/>
        <v>486335960</v>
      </c>
      <c r="N30" s="9">
        <v>0</v>
      </c>
      <c r="O30" s="9">
        <v>199619673</v>
      </c>
      <c r="P30" s="27">
        <f t="shared" si="9"/>
        <v>286716287</v>
      </c>
      <c r="Q30" s="9">
        <v>199619673</v>
      </c>
      <c r="R30" s="25">
        <f t="shared" si="1"/>
        <v>0.41045632940652793</v>
      </c>
      <c r="S30" s="9">
        <v>199619673</v>
      </c>
      <c r="T30" s="48">
        <v>199619673</v>
      </c>
    </row>
    <row r="31" spans="1:21" s="6" customFormat="1" ht="16.5" customHeight="1" x14ac:dyDescent="0.25">
      <c r="A31" s="7" t="s">
        <v>3</v>
      </c>
      <c r="B31" s="7" t="s">
        <v>34</v>
      </c>
      <c r="C31" s="7" t="s">
        <v>34</v>
      </c>
      <c r="D31" s="7" t="s">
        <v>51</v>
      </c>
      <c r="E31" s="7" t="s">
        <v>52</v>
      </c>
      <c r="F31" s="7"/>
      <c r="G31" s="23" t="s">
        <v>65</v>
      </c>
      <c r="H31" s="7" t="s">
        <v>5</v>
      </c>
      <c r="I31" s="8" t="s">
        <v>6</v>
      </c>
      <c r="J31" s="9">
        <v>1520168203</v>
      </c>
      <c r="K31" s="9">
        <v>79000000</v>
      </c>
      <c r="L31" s="27"/>
      <c r="M31" s="27">
        <f t="shared" si="10"/>
        <v>1599168203</v>
      </c>
      <c r="N31" s="9">
        <v>0</v>
      </c>
      <c r="O31" s="9">
        <v>635723608</v>
      </c>
      <c r="P31" s="27">
        <f t="shared" si="9"/>
        <v>963444595</v>
      </c>
      <c r="Q31" s="9">
        <v>635723608</v>
      </c>
      <c r="R31" s="25">
        <f t="shared" si="1"/>
        <v>0.39753392220242889</v>
      </c>
      <c r="S31" s="9">
        <v>635723608</v>
      </c>
      <c r="T31" s="48">
        <v>635723608</v>
      </c>
    </row>
    <row r="32" spans="1:21" s="6" customFormat="1" ht="16.5" customHeight="1" x14ac:dyDescent="0.25">
      <c r="A32" s="7" t="s">
        <v>3</v>
      </c>
      <c r="B32" s="7" t="s">
        <v>34</v>
      </c>
      <c r="C32" s="7" t="s">
        <v>34</v>
      </c>
      <c r="D32" s="7" t="s">
        <v>51</v>
      </c>
      <c r="E32" s="7" t="s">
        <v>53</v>
      </c>
      <c r="F32" s="7"/>
      <c r="G32" s="23" t="s">
        <v>66</v>
      </c>
      <c r="H32" s="7" t="s">
        <v>5</v>
      </c>
      <c r="I32" s="8">
        <v>10</v>
      </c>
      <c r="J32" s="9">
        <v>94831584</v>
      </c>
      <c r="K32" s="9"/>
      <c r="L32" s="27"/>
      <c r="M32" s="27">
        <f t="shared" si="10"/>
        <v>94831584</v>
      </c>
      <c r="N32" s="9">
        <v>0</v>
      </c>
      <c r="O32" s="9">
        <v>0</v>
      </c>
      <c r="P32" s="27">
        <f t="shared" si="9"/>
        <v>94831584</v>
      </c>
      <c r="Q32" s="9">
        <v>0</v>
      </c>
      <c r="R32" s="25">
        <f t="shared" si="1"/>
        <v>0</v>
      </c>
      <c r="S32" s="9">
        <v>0</v>
      </c>
      <c r="T32" s="48">
        <v>0</v>
      </c>
    </row>
    <row r="33" spans="1:21" ht="16.5" customHeight="1" x14ac:dyDescent="0.25">
      <c r="A33" s="78" t="s">
        <v>3</v>
      </c>
      <c r="B33" s="78" t="s">
        <v>34</v>
      </c>
      <c r="C33" s="78"/>
      <c r="D33" s="78"/>
      <c r="E33" s="78"/>
      <c r="F33" s="78"/>
      <c r="G33" s="79" t="s">
        <v>10</v>
      </c>
      <c r="H33" s="78" t="s">
        <v>5</v>
      </c>
      <c r="I33" s="80" t="s">
        <v>6</v>
      </c>
      <c r="J33" s="61">
        <f>J3</f>
        <v>349572344000</v>
      </c>
      <c r="K33" s="61">
        <f t="shared" ref="K33:L33" si="11">K3</f>
        <v>401000000</v>
      </c>
      <c r="L33" s="61">
        <f t="shared" si="11"/>
        <v>401000000</v>
      </c>
      <c r="M33" s="61">
        <f>M3</f>
        <v>349572344000</v>
      </c>
      <c r="N33" s="61">
        <f>N3</f>
        <v>0</v>
      </c>
      <c r="O33" s="61">
        <f>O3</f>
        <v>123509976394</v>
      </c>
      <c r="P33" s="61">
        <f>P3</f>
        <v>226062367606</v>
      </c>
      <c r="Q33" s="61">
        <f>Q3</f>
        <v>123509976394</v>
      </c>
      <c r="R33" s="73">
        <f>IF(Q33&gt;1,Q33/(M33-N33),0)</f>
        <v>0.35331735623227678</v>
      </c>
      <c r="S33" s="61">
        <f>S3</f>
        <v>118103772894</v>
      </c>
      <c r="T33" s="70">
        <f>T3</f>
        <v>118103772894</v>
      </c>
      <c r="U33" s="102"/>
    </row>
    <row r="34" spans="1:21" ht="15" customHeight="1" thickBot="1" x14ac:dyDescent="0.3">
      <c r="A34" s="130" t="s">
        <v>25</v>
      </c>
      <c r="B34" s="131"/>
      <c r="C34" s="131"/>
      <c r="D34" s="131"/>
      <c r="E34" s="131"/>
      <c r="F34" s="131"/>
      <c r="G34" s="131"/>
      <c r="H34" s="131"/>
      <c r="I34" s="132"/>
      <c r="J34" s="74">
        <f>J33</f>
        <v>349572344000</v>
      </c>
      <c r="K34" s="74">
        <f t="shared" ref="K34:L34" si="12">K33</f>
        <v>401000000</v>
      </c>
      <c r="L34" s="74">
        <f t="shared" si="12"/>
        <v>401000000</v>
      </c>
      <c r="M34" s="74">
        <f t="shared" ref="M34:T34" si="13">M33</f>
        <v>349572344000</v>
      </c>
      <c r="N34" s="74">
        <f t="shared" ref="N34" si="14">N33</f>
        <v>0</v>
      </c>
      <c r="O34" s="74">
        <f t="shared" si="13"/>
        <v>123509976394</v>
      </c>
      <c r="P34" s="74">
        <f t="shared" si="13"/>
        <v>226062367606</v>
      </c>
      <c r="Q34" s="74">
        <f t="shared" si="13"/>
        <v>123509976394</v>
      </c>
      <c r="R34" s="73">
        <f t="shared" si="1"/>
        <v>0.35331735623227678</v>
      </c>
      <c r="S34" s="74">
        <f t="shared" si="13"/>
        <v>118103772894</v>
      </c>
      <c r="T34" s="75">
        <f t="shared" si="13"/>
        <v>118103772894</v>
      </c>
    </row>
    <row r="35" spans="1:21" ht="15.75" customHeight="1" thickBot="1" x14ac:dyDescent="0.3">
      <c r="A35" s="124" t="s">
        <v>101</v>
      </c>
      <c r="B35" s="125"/>
      <c r="C35" s="125"/>
      <c r="D35" s="125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5"/>
      <c r="R35" s="125"/>
      <c r="S35" s="125"/>
      <c r="T35" s="126"/>
    </row>
    <row r="36" spans="1:21" ht="15.75" customHeight="1" x14ac:dyDescent="0.25">
      <c r="A36" s="87" t="s">
        <v>3</v>
      </c>
      <c r="B36" s="11" t="s">
        <v>50</v>
      </c>
      <c r="C36" s="11" t="s">
        <v>34</v>
      </c>
      <c r="D36" s="11"/>
      <c r="E36" s="11"/>
      <c r="F36" s="11"/>
      <c r="G36" s="12" t="s">
        <v>79</v>
      </c>
      <c r="H36" s="11" t="s">
        <v>5</v>
      </c>
      <c r="I36" s="13">
        <v>10</v>
      </c>
      <c r="J36" s="46">
        <f>J37+J38+J39+J40+J41+J43+J42+J44</f>
        <v>894100000</v>
      </c>
      <c r="K36" s="46">
        <f>K37+K38+K39+K40+K41+K43+K42+K44</f>
        <v>127810634</v>
      </c>
      <c r="L36" s="46">
        <f t="shared" ref="L36:P36" si="15">L37+L38+L39+L40+L41+L43+L42+L44</f>
        <v>136163345</v>
      </c>
      <c r="M36" s="46">
        <f t="shared" si="15"/>
        <v>885747289</v>
      </c>
      <c r="N36" s="46">
        <f t="shared" si="15"/>
        <v>0</v>
      </c>
      <c r="O36" s="46">
        <f>O37+O38+O39+O40+O41+O43+O42+O44</f>
        <v>303777338.37</v>
      </c>
      <c r="P36" s="46">
        <f t="shared" si="15"/>
        <v>581969950.63</v>
      </c>
      <c r="Q36" s="46">
        <f>Q37+Q38+Q39+Q40+Q41+Q43+Q42+Q44</f>
        <v>169926336.37</v>
      </c>
      <c r="R36" s="59">
        <f t="shared" ref="R36:R75" si="16">IF(Q36&gt;1,Q36/(M36-N36),0)</f>
        <v>0.1918451667651675</v>
      </c>
      <c r="S36" s="46">
        <f t="shared" ref="S36:T36" si="17">S37+S38+S39+S40+S41+S43+S42+S44</f>
        <v>0</v>
      </c>
      <c r="T36" s="46">
        <f t="shared" si="17"/>
        <v>0</v>
      </c>
    </row>
    <row r="37" spans="1:21" ht="15.75" customHeight="1" x14ac:dyDescent="0.25">
      <c r="A37" s="88" t="s">
        <v>3</v>
      </c>
      <c r="B37" s="7" t="s">
        <v>50</v>
      </c>
      <c r="C37" s="7" t="s">
        <v>34</v>
      </c>
      <c r="D37" s="7" t="s">
        <v>34</v>
      </c>
      <c r="E37" s="62" t="s">
        <v>39</v>
      </c>
      <c r="F37" s="62" t="s">
        <v>45</v>
      </c>
      <c r="G37" s="23" t="s">
        <v>134</v>
      </c>
      <c r="H37" s="7" t="s">
        <v>5</v>
      </c>
      <c r="I37" s="8">
        <v>10</v>
      </c>
      <c r="J37" s="43">
        <v>321500000</v>
      </c>
      <c r="K37" s="43">
        <f>2463202+28000000+15000000</f>
        <v>45463202</v>
      </c>
      <c r="L37" s="43">
        <f>14482730+17021000+2619265</f>
        <v>34122995</v>
      </c>
      <c r="M37" s="43">
        <f>J37+K37-L37</f>
        <v>332840207</v>
      </c>
      <c r="N37" s="43"/>
      <c r="O37" s="43">
        <v>138984416</v>
      </c>
      <c r="P37" s="27">
        <f t="shared" ref="P37:P43" si="18">+M37-O37-N37</f>
        <v>193855791</v>
      </c>
      <c r="Q37" s="27">
        <v>103484416</v>
      </c>
      <c r="R37" s="66">
        <f>IF(Q37&gt;1,Q37/(M37-N37),0)</f>
        <v>0.31091320646847215</v>
      </c>
      <c r="S37" s="43">
        <v>0</v>
      </c>
      <c r="T37" s="67">
        <v>0</v>
      </c>
    </row>
    <row r="38" spans="1:21" ht="15.75" customHeight="1" x14ac:dyDescent="0.25">
      <c r="A38" s="88" t="s">
        <v>3</v>
      </c>
      <c r="B38" s="86" t="s">
        <v>50</v>
      </c>
      <c r="C38" s="7" t="s">
        <v>34</v>
      </c>
      <c r="D38" s="7" t="s">
        <v>34</v>
      </c>
      <c r="E38" s="7" t="s">
        <v>40</v>
      </c>
      <c r="F38" s="7" t="s">
        <v>39</v>
      </c>
      <c r="G38" s="23" t="s">
        <v>105</v>
      </c>
      <c r="H38" s="7" t="s">
        <v>5</v>
      </c>
      <c r="I38" s="8">
        <v>10</v>
      </c>
      <c r="J38" s="43">
        <v>144400000</v>
      </c>
      <c r="K38" s="43">
        <v>34000000</v>
      </c>
      <c r="L38" s="43">
        <f>3000000+2696550</f>
        <v>5696550</v>
      </c>
      <c r="M38" s="43">
        <f t="shared" ref="M38:M43" si="19">J38+K38-L38</f>
        <v>172703450</v>
      </c>
      <c r="N38" s="43"/>
      <c r="O38" s="43">
        <v>89761661.469999999</v>
      </c>
      <c r="P38" s="27">
        <f t="shared" si="18"/>
        <v>82941788.530000001</v>
      </c>
      <c r="Q38" s="27">
        <v>10458211.470000001</v>
      </c>
      <c r="R38" s="66">
        <f t="shared" si="16"/>
        <v>6.0555892021844387E-2</v>
      </c>
      <c r="S38" s="43">
        <v>0</v>
      </c>
      <c r="T38" s="67">
        <v>0</v>
      </c>
      <c r="U38" s="102"/>
    </row>
    <row r="39" spans="1:21" ht="15.75" customHeight="1" x14ac:dyDescent="0.25">
      <c r="A39" s="88" t="s">
        <v>3</v>
      </c>
      <c r="B39" s="7" t="s">
        <v>50</v>
      </c>
      <c r="C39" s="7" t="s">
        <v>34</v>
      </c>
      <c r="D39" s="7" t="s">
        <v>34</v>
      </c>
      <c r="E39" s="7" t="s">
        <v>40</v>
      </c>
      <c r="F39" s="7" t="s">
        <v>40</v>
      </c>
      <c r="G39" s="23" t="s">
        <v>106</v>
      </c>
      <c r="H39" s="7" t="s">
        <v>5</v>
      </c>
      <c r="I39" s="8">
        <v>10</v>
      </c>
      <c r="J39" s="43">
        <v>18700000</v>
      </c>
      <c r="K39" s="43"/>
      <c r="L39" s="43">
        <v>3600000</v>
      </c>
      <c r="M39" s="43">
        <f t="shared" si="19"/>
        <v>15100000</v>
      </c>
      <c r="N39" s="43"/>
      <c r="O39" s="43">
        <v>15100000</v>
      </c>
      <c r="P39" s="27">
        <f t="shared" si="18"/>
        <v>0</v>
      </c>
      <c r="Q39" s="27">
        <v>15100000</v>
      </c>
      <c r="R39" s="66">
        <f t="shared" si="16"/>
        <v>1</v>
      </c>
      <c r="S39" s="43">
        <v>0</v>
      </c>
      <c r="T39" s="67">
        <v>0</v>
      </c>
    </row>
    <row r="40" spans="1:21" ht="15.75" customHeight="1" x14ac:dyDescent="0.25">
      <c r="A40" s="88" t="s">
        <v>3</v>
      </c>
      <c r="B40" s="7" t="s">
        <v>50</v>
      </c>
      <c r="C40" s="7" t="s">
        <v>34</v>
      </c>
      <c r="D40" s="7" t="s">
        <v>34</v>
      </c>
      <c r="E40" s="7" t="s">
        <v>40</v>
      </c>
      <c r="F40" s="62" t="s">
        <v>42</v>
      </c>
      <c r="G40" s="23" t="s">
        <v>116</v>
      </c>
      <c r="H40" s="7" t="s">
        <v>5</v>
      </c>
      <c r="I40" s="8">
        <v>10</v>
      </c>
      <c r="J40" s="43">
        <v>240000000</v>
      </c>
      <c r="K40" s="43"/>
      <c r="L40" s="43"/>
      <c r="M40" s="43">
        <f>J40+K40-L40</f>
        <v>240000000</v>
      </c>
      <c r="N40" s="109">
        <v>0</v>
      </c>
      <c r="O40" s="43">
        <v>0</v>
      </c>
      <c r="P40" s="27">
        <f>+M40-O40-N40</f>
        <v>240000000</v>
      </c>
      <c r="Q40" s="27">
        <v>0</v>
      </c>
      <c r="R40" s="66">
        <f t="shared" si="16"/>
        <v>0</v>
      </c>
      <c r="S40" s="43">
        <v>0</v>
      </c>
      <c r="T40" s="67">
        <v>0</v>
      </c>
    </row>
    <row r="41" spans="1:21" ht="15.75" customHeight="1" x14ac:dyDescent="0.25">
      <c r="A41" s="88" t="s">
        <v>3</v>
      </c>
      <c r="B41" s="7" t="s">
        <v>50</v>
      </c>
      <c r="C41" s="7" t="s">
        <v>34</v>
      </c>
      <c r="D41" s="7" t="s">
        <v>34</v>
      </c>
      <c r="E41" s="7" t="s">
        <v>40</v>
      </c>
      <c r="F41" s="62" t="s">
        <v>43</v>
      </c>
      <c r="G41" s="23" t="s">
        <v>117</v>
      </c>
      <c r="H41" s="7" t="s">
        <v>5</v>
      </c>
      <c r="I41" s="8">
        <v>10</v>
      </c>
      <c r="J41" s="43">
        <v>57000000</v>
      </c>
      <c r="K41" s="43">
        <f>299880+6000000</f>
        <v>6299880</v>
      </c>
      <c r="L41" s="43">
        <v>12000000</v>
      </c>
      <c r="M41" s="43">
        <f t="shared" si="19"/>
        <v>51299880</v>
      </c>
      <c r="N41" s="43">
        <v>0</v>
      </c>
      <c r="O41" s="43">
        <v>2977748.9</v>
      </c>
      <c r="P41" s="27">
        <f>+M41-O41-N41</f>
        <v>48322131.100000001</v>
      </c>
      <c r="Q41" s="27">
        <v>2977748.9</v>
      </c>
      <c r="R41" s="66">
        <f t="shared" si="16"/>
        <v>5.8045923304304026E-2</v>
      </c>
      <c r="S41" s="43">
        <v>0</v>
      </c>
      <c r="T41" s="67">
        <v>0</v>
      </c>
    </row>
    <row r="42" spans="1:21" ht="15.75" customHeight="1" x14ac:dyDescent="0.25">
      <c r="A42" s="88" t="s">
        <v>3</v>
      </c>
      <c r="B42" s="7" t="s">
        <v>50</v>
      </c>
      <c r="C42" s="7" t="s">
        <v>34</v>
      </c>
      <c r="D42" s="7" t="s">
        <v>34</v>
      </c>
      <c r="E42" s="7" t="s">
        <v>40</v>
      </c>
      <c r="F42" s="62" t="s">
        <v>44</v>
      </c>
      <c r="G42" s="23" t="s">
        <v>224</v>
      </c>
      <c r="H42" s="7" t="s">
        <v>5</v>
      </c>
      <c r="I42" s="8">
        <v>10</v>
      </c>
      <c r="J42" s="43">
        <v>0</v>
      </c>
      <c r="K42" s="43">
        <f>20000000+19047552</f>
        <v>39047552</v>
      </c>
      <c r="L42" s="43"/>
      <c r="M42" s="43">
        <f t="shared" ref="M42" si="20">J42+K42-L42</f>
        <v>39047552</v>
      </c>
      <c r="N42" s="43">
        <v>0</v>
      </c>
      <c r="O42" s="43">
        <v>38493512</v>
      </c>
      <c r="P42" s="27">
        <f>+M42-O42-N42</f>
        <v>554040</v>
      </c>
      <c r="Q42" s="27">
        <v>19445960</v>
      </c>
      <c r="R42" s="66">
        <f t="shared" ref="R42" si="21">IF(Q42&gt;1,Q42/(M42-N42),0)</f>
        <v>0.49800714779763916</v>
      </c>
      <c r="S42" s="43">
        <v>0</v>
      </c>
      <c r="T42" s="67">
        <v>0</v>
      </c>
    </row>
    <row r="43" spans="1:21" ht="15.75" customHeight="1" x14ac:dyDescent="0.25">
      <c r="A43" s="88" t="s">
        <v>3</v>
      </c>
      <c r="B43" s="7" t="s">
        <v>50</v>
      </c>
      <c r="C43" s="7" t="s">
        <v>34</v>
      </c>
      <c r="D43" s="7" t="s">
        <v>34</v>
      </c>
      <c r="E43" s="7" t="s">
        <v>40</v>
      </c>
      <c r="F43" s="62" t="s">
        <v>45</v>
      </c>
      <c r="G43" s="23" t="s">
        <v>135</v>
      </c>
      <c r="H43" s="7" t="s">
        <v>5</v>
      </c>
      <c r="I43" s="8">
        <v>10</v>
      </c>
      <c r="J43" s="43">
        <v>112500000</v>
      </c>
      <c r="K43" s="43"/>
      <c r="L43" s="43">
        <f>51895000+20000000+2571190+5777610+500000</f>
        <v>80743800</v>
      </c>
      <c r="M43" s="43">
        <f t="shared" si="19"/>
        <v>31756200</v>
      </c>
      <c r="N43" s="43">
        <v>0</v>
      </c>
      <c r="O43" s="43">
        <v>16651200</v>
      </c>
      <c r="P43" s="27">
        <f t="shared" si="18"/>
        <v>15105000</v>
      </c>
      <c r="Q43" s="27">
        <v>16651200</v>
      </c>
      <c r="R43" s="66">
        <f t="shared" si="16"/>
        <v>0.52434485234379424</v>
      </c>
      <c r="S43" s="43">
        <v>0</v>
      </c>
      <c r="T43" s="67">
        <v>0</v>
      </c>
    </row>
    <row r="44" spans="1:21" ht="15.75" customHeight="1" x14ac:dyDescent="0.25">
      <c r="A44" s="88" t="s">
        <v>3</v>
      </c>
      <c r="B44" s="7" t="s">
        <v>50</v>
      </c>
      <c r="C44" s="7" t="s">
        <v>34</v>
      </c>
      <c r="D44" s="7" t="s">
        <v>34</v>
      </c>
      <c r="E44" s="7" t="s">
        <v>40</v>
      </c>
      <c r="F44" s="62" t="s">
        <v>46</v>
      </c>
      <c r="G44" s="23" t="s">
        <v>225</v>
      </c>
      <c r="H44" s="7" t="s">
        <v>5</v>
      </c>
      <c r="I44" s="8">
        <v>10</v>
      </c>
      <c r="J44" s="43">
        <v>0</v>
      </c>
      <c r="K44" s="43">
        <v>3000000</v>
      </c>
      <c r="L44" s="43">
        <v>0</v>
      </c>
      <c r="M44" s="43">
        <f t="shared" ref="M44" si="22">J44+K44-L44</f>
        <v>3000000</v>
      </c>
      <c r="N44" s="43">
        <v>0</v>
      </c>
      <c r="O44" s="43">
        <v>1808800</v>
      </c>
      <c r="P44" s="27">
        <f t="shared" ref="P44" si="23">+M44-O44-N44</f>
        <v>1191200</v>
      </c>
      <c r="Q44" s="27">
        <v>1808800</v>
      </c>
      <c r="R44" s="66">
        <f t="shared" ref="R44" si="24">IF(Q44&gt;1,Q44/(M44-N44),0)</f>
        <v>0.60293333333333332</v>
      </c>
      <c r="S44" s="43">
        <v>0</v>
      </c>
      <c r="T44" s="117">
        <v>0</v>
      </c>
    </row>
    <row r="45" spans="1:21" s="45" customFormat="1" ht="15" customHeight="1" x14ac:dyDescent="0.25">
      <c r="A45" s="87" t="s">
        <v>3</v>
      </c>
      <c r="B45" s="11" t="s">
        <v>50</v>
      </c>
      <c r="C45" s="11" t="s">
        <v>50</v>
      </c>
      <c r="D45" s="11"/>
      <c r="E45" s="11"/>
      <c r="F45" s="115"/>
      <c r="G45" s="12" t="s">
        <v>80</v>
      </c>
      <c r="H45" s="11" t="s">
        <v>5</v>
      </c>
      <c r="I45" s="13">
        <v>10</v>
      </c>
      <c r="J45" s="46">
        <f>J47+J48+J49+J50+J52+J53+J54+J55+J56+J57+J58+J59+J60+J61+J66+J67+J68+J69+J70+J71+J73+J74+J75+J76+J77+J78+J80+J81+J82+J83+J84+J62+J63+J64+J51+J65</f>
        <v>53690471847</v>
      </c>
      <c r="K45" s="46">
        <f>K47+K48+K49+K50+K52+K53+K54+K55+K56+K57+K58+K59+K60+K61+K66+K67+K68+K69+K70+K71+K73+K74+K75+K76+K77+K78+K80+K81+K82+K83+K84+K62+K63+K64+K51+K65</f>
        <v>1934265375</v>
      </c>
      <c r="L45" s="46">
        <f t="shared" ref="L45:P45" si="25">L47+L48+L49+L50+L52+L53+L54+L55+L56+L57+L58+L59+L60+L61+L66+L67+L68+L69+L70+L71+L73+L74+L75+L76+L77+L78+L80+L81+L82+L83+L84+L62+L63+L64+L51+L65</f>
        <v>1925912664</v>
      </c>
      <c r="M45" s="46">
        <f>M47+M48+M49+M50+M52+M53+M54+M55+M56+M57+M58+M59+M60+M61+M66+M67+M68+M69+M70+M71+M73+M74+M75+M76+M77+M78+M80+M81+M82+M83+M84+M62+M63+M64+M51+M65+6516396</f>
        <v>53698824558</v>
      </c>
      <c r="N45" s="46">
        <f t="shared" si="25"/>
        <v>0</v>
      </c>
      <c r="O45" s="46">
        <f>O47+O48+O49+O50+O52+O53+O54+O55+O56+O57+O58+O59+O60+O61+O66+O67+O68+O69+O70+O71+O73+O74+O75+O76+O77+O78+O80+O81+O82+O83+O84+O62+O63+O64+O51+O65+6516396</f>
        <v>35176372204.57</v>
      </c>
      <c r="P45" s="46">
        <f t="shared" si="25"/>
        <v>18522452353.429996</v>
      </c>
      <c r="Q45" s="46">
        <f>Q47+Q48+Q49+Q50+Q52+Q53+Q54+Q55+Q56+Q57+Q58+Q59+Q60+Q61+Q66+Q67+Q68+Q69+Q70+Q71+Q73+Q74+Q75+Q76+Q77+Q78+Q80+Q81+Q82+Q83+Q84+Q62+Q63+Q64+Q51+Q65</f>
        <v>28794930556.270004</v>
      </c>
      <c r="R45" s="59">
        <f>IF(Q45&gt;1,Q45/(M45-N45),0)</f>
        <v>0.53623018368248743</v>
      </c>
      <c r="S45" s="24">
        <f t="shared" ref="S45:T45" si="26">S47+S48+S49+S50+S52+S53+S54+S55+S56+S57+S58+S59+S60+S61+S66+S67+S68+S69+S70+S71+S73+S74+S75+S76+S77+S78+S80+S81+S82+S83+S84+S62+S63+S64+S51+S65</f>
        <v>16507842427.639999</v>
      </c>
      <c r="T45" s="24">
        <f t="shared" si="26"/>
        <v>16334757078.539999</v>
      </c>
    </row>
    <row r="46" spans="1:21" s="45" customFormat="1" ht="15" customHeight="1" x14ac:dyDescent="0.25">
      <c r="A46" s="87" t="s">
        <v>3</v>
      </c>
      <c r="B46" s="11" t="s">
        <v>50</v>
      </c>
      <c r="C46" s="11" t="s">
        <v>50</v>
      </c>
      <c r="D46" s="11"/>
      <c r="E46" s="11"/>
      <c r="F46" s="115"/>
      <c r="G46" s="12" t="s">
        <v>80</v>
      </c>
      <c r="H46" s="11" t="s">
        <v>8</v>
      </c>
      <c r="I46" s="13">
        <v>20</v>
      </c>
      <c r="J46" s="46">
        <f>J72+J79</f>
        <v>2873920000</v>
      </c>
      <c r="K46" s="46">
        <f t="shared" ref="K46:Q46" si="27">K72+K79</f>
        <v>0</v>
      </c>
      <c r="L46" s="46">
        <f t="shared" si="27"/>
        <v>0</v>
      </c>
      <c r="M46" s="46">
        <f>M72+M79</f>
        <v>2873920000</v>
      </c>
      <c r="N46" s="46">
        <f>N72+N79</f>
        <v>0</v>
      </c>
      <c r="O46" s="46">
        <f t="shared" si="27"/>
        <v>0</v>
      </c>
      <c r="P46" s="24">
        <f t="shared" si="27"/>
        <v>2873920000</v>
      </c>
      <c r="Q46" s="24">
        <f t="shared" si="27"/>
        <v>0</v>
      </c>
      <c r="R46" s="59">
        <f t="shared" ref="R46" si="28">IF(Q46&gt;1,Q46/(M46-N46),0)</f>
        <v>0</v>
      </c>
      <c r="S46" s="46">
        <f t="shared" ref="S46:T46" si="29">S72+S79</f>
        <v>0</v>
      </c>
      <c r="T46" s="65">
        <f t="shared" si="29"/>
        <v>0</v>
      </c>
    </row>
    <row r="47" spans="1:21" s="6" customFormat="1" x14ac:dyDescent="0.25">
      <c r="A47" s="88" t="s">
        <v>3</v>
      </c>
      <c r="B47" s="7" t="s">
        <v>50</v>
      </c>
      <c r="C47" s="7" t="s">
        <v>50</v>
      </c>
      <c r="D47" s="7" t="s">
        <v>34</v>
      </c>
      <c r="E47" s="62" t="s">
        <v>35</v>
      </c>
      <c r="F47" s="62" t="s">
        <v>42</v>
      </c>
      <c r="G47" s="23" t="s">
        <v>214</v>
      </c>
      <c r="H47" s="7" t="s">
        <v>5</v>
      </c>
      <c r="I47" s="8">
        <v>10</v>
      </c>
      <c r="J47" s="43">
        <v>210000</v>
      </c>
      <c r="K47" s="43"/>
      <c r="L47" s="43"/>
      <c r="M47" s="43">
        <f>J47+K47-L47</f>
        <v>210000</v>
      </c>
      <c r="N47" s="43">
        <v>0</v>
      </c>
      <c r="O47" s="43">
        <v>210000</v>
      </c>
      <c r="P47" s="27">
        <f t="shared" ref="P47:P84" si="30">+M47-O47-N47</f>
        <v>0</v>
      </c>
      <c r="Q47" s="9">
        <v>0</v>
      </c>
      <c r="R47" s="25">
        <f t="shared" si="16"/>
        <v>0</v>
      </c>
      <c r="S47" s="9">
        <v>0</v>
      </c>
      <c r="T47" s="10">
        <v>0</v>
      </c>
    </row>
    <row r="48" spans="1:21" s="6" customFormat="1" x14ac:dyDescent="0.25">
      <c r="A48" s="88" t="s">
        <v>3</v>
      </c>
      <c r="B48" s="7" t="s">
        <v>50</v>
      </c>
      <c r="C48" s="7" t="s">
        <v>50</v>
      </c>
      <c r="D48" s="7" t="s">
        <v>34</v>
      </c>
      <c r="E48" s="62" t="s">
        <v>35</v>
      </c>
      <c r="F48" s="62" t="s">
        <v>43</v>
      </c>
      <c r="G48" s="23" t="s">
        <v>222</v>
      </c>
      <c r="H48" s="7" t="s">
        <v>5</v>
      </c>
      <c r="I48" s="8">
        <v>10</v>
      </c>
      <c r="J48" s="43">
        <v>0</v>
      </c>
      <c r="K48" s="43">
        <v>300000</v>
      </c>
      <c r="L48" s="43"/>
      <c r="M48" s="43">
        <f>J48+K48-L48</f>
        <v>300000</v>
      </c>
      <c r="N48" s="43">
        <v>0</v>
      </c>
      <c r="O48" s="43">
        <v>300000</v>
      </c>
      <c r="P48" s="27">
        <f t="shared" ref="P48" si="31">+M48-O48-N48</f>
        <v>0</v>
      </c>
      <c r="Q48" s="9">
        <v>300000</v>
      </c>
      <c r="R48" s="25">
        <f t="shared" ref="R48" si="32">IF(Q48&gt;1,Q48/(M48-N48),0)</f>
        <v>1</v>
      </c>
      <c r="S48" s="9">
        <v>0</v>
      </c>
      <c r="T48" s="10">
        <v>0</v>
      </c>
    </row>
    <row r="49" spans="1:20" s="6" customFormat="1" ht="32.25" customHeight="1" x14ac:dyDescent="0.25">
      <c r="A49" s="88" t="s">
        <v>3</v>
      </c>
      <c r="B49" s="7" t="s">
        <v>50</v>
      </c>
      <c r="C49" s="7" t="s">
        <v>50</v>
      </c>
      <c r="D49" s="7" t="s">
        <v>34</v>
      </c>
      <c r="E49" s="7" t="s">
        <v>37</v>
      </c>
      <c r="F49" s="62" t="s">
        <v>44</v>
      </c>
      <c r="G49" s="23" t="s">
        <v>200</v>
      </c>
      <c r="H49" s="7" t="s">
        <v>5</v>
      </c>
      <c r="I49" s="8">
        <v>10</v>
      </c>
      <c r="J49" s="43">
        <v>40788000</v>
      </c>
      <c r="K49" s="43">
        <v>53701</v>
      </c>
      <c r="L49" s="43"/>
      <c r="M49" s="43">
        <f t="shared" ref="M49" si="33">J49+K49-L49</f>
        <v>40841701</v>
      </c>
      <c r="N49" s="43">
        <v>0</v>
      </c>
      <c r="O49" s="43">
        <v>28788000</v>
      </c>
      <c r="P49" s="27">
        <f>+M49-O49-N49</f>
        <v>12053701</v>
      </c>
      <c r="Q49" s="9">
        <v>0</v>
      </c>
      <c r="R49" s="25">
        <f>IF(Q49&gt;1,Q49/(M49-N49),0)</f>
        <v>0</v>
      </c>
      <c r="S49" s="9">
        <v>0</v>
      </c>
      <c r="T49" s="10">
        <v>0</v>
      </c>
    </row>
    <row r="50" spans="1:20" s="6" customFormat="1" ht="16.5" x14ac:dyDescent="0.25">
      <c r="A50" s="88" t="s">
        <v>3</v>
      </c>
      <c r="B50" s="7" t="s">
        <v>50</v>
      </c>
      <c r="C50" s="7" t="s">
        <v>50</v>
      </c>
      <c r="D50" s="7" t="s">
        <v>34</v>
      </c>
      <c r="E50" s="7" t="s">
        <v>37</v>
      </c>
      <c r="F50" s="62" t="s">
        <v>45</v>
      </c>
      <c r="G50" s="23" t="s">
        <v>107</v>
      </c>
      <c r="H50" s="7" t="s">
        <v>5</v>
      </c>
      <c r="I50" s="8" t="s">
        <v>6</v>
      </c>
      <c r="J50" s="43">
        <v>841520000</v>
      </c>
      <c r="K50" s="43">
        <f>78250+3790234</f>
        <v>3868484</v>
      </c>
      <c r="L50" s="43">
        <f>13269942</f>
        <v>13269942</v>
      </c>
      <c r="M50" s="43">
        <f t="shared" ref="M50:M84" si="34">J50+K50-L50</f>
        <v>832118542</v>
      </c>
      <c r="N50" s="9">
        <v>0</v>
      </c>
      <c r="O50" s="43">
        <v>346049289</v>
      </c>
      <c r="P50" s="27">
        <f>+M50-O50-N50</f>
        <v>486069253</v>
      </c>
      <c r="Q50" s="9">
        <v>238451164</v>
      </c>
      <c r="R50" s="25">
        <f t="shared" si="16"/>
        <v>0.28655912825458946</v>
      </c>
      <c r="S50" s="9">
        <v>63773608</v>
      </c>
      <c r="T50" s="10">
        <v>10776640</v>
      </c>
    </row>
    <row r="51" spans="1:20" s="6" customFormat="1" ht="24.75" x14ac:dyDescent="0.25">
      <c r="A51" s="88" t="s">
        <v>3</v>
      </c>
      <c r="B51" s="7" t="s">
        <v>50</v>
      </c>
      <c r="C51" s="7" t="s">
        <v>50</v>
      </c>
      <c r="D51" s="7" t="s">
        <v>34</v>
      </c>
      <c r="E51" s="7" t="s">
        <v>39</v>
      </c>
      <c r="F51" s="62" t="s">
        <v>35</v>
      </c>
      <c r="G51" s="23" t="s">
        <v>223</v>
      </c>
      <c r="H51" s="7" t="s">
        <v>5</v>
      </c>
      <c r="I51" s="8" t="s">
        <v>6</v>
      </c>
      <c r="J51" s="43">
        <v>0</v>
      </c>
      <c r="K51" s="43">
        <v>2000000</v>
      </c>
      <c r="L51" s="43"/>
      <c r="M51" s="43">
        <f t="shared" ref="M51" si="35">J51+K51-L51</f>
        <v>2000000</v>
      </c>
      <c r="N51" s="9">
        <v>0</v>
      </c>
      <c r="O51" s="43">
        <v>2000000</v>
      </c>
      <c r="P51" s="27">
        <f>+M51-O51-N51</f>
        <v>0</v>
      </c>
      <c r="Q51" s="9">
        <v>2000000</v>
      </c>
      <c r="R51" s="25">
        <f t="shared" ref="R51" si="36">IF(Q51&gt;1,Q51/(M51-N51),0)</f>
        <v>1</v>
      </c>
      <c r="S51" s="9">
        <v>0</v>
      </c>
      <c r="T51" s="10">
        <v>0</v>
      </c>
    </row>
    <row r="52" spans="1:20" s="6" customFormat="1" ht="43.5" customHeight="1" x14ac:dyDescent="0.25">
      <c r="A52" s="88" t="s">
        <v>3</v>
      </c>
      <c r="B52" s="7" t="s">
        <v>50</v>
      </c>
      <c r="C52" s="7" t="s">
        <v>50</v>
      </c>
      <c r="D52" s="7" t="s">
        <v>34</v>
      </c>
      <c r="E52" s="7" t="s">
        <v>39</v>
      </c>
      <c r="F52" s="62" t="s">
        <v>37</v>
      </c>
      <c r="G52" s="23" t="s">
        <v>203</v>
      </c>
      <c r="H52" s="7" t="s">
        <v>5</v>
      </c>
      <c r="I52" s="8">
        <v>10</v>
      </c>
      <c r="J52" s="43">
        <v>759430000</v>
      </c>
      <c r="K52" s="43">
        <f>12364500+784360+6397485</f>
        <v>19546345</v>
      </c>
      <c r="L52" s="43">
        <f>13524360+4473400+18000000+60000000+41406600</f>
        <v>137404360</v>
      </c>
      <c r="M52" s="43">
        <f t="shared" si="34"/>
        <v>641571985</v>
      </c>
      <c r="N52" s="27">
        <v>0</v>
      </c>
      <c r="O52" s="43">
        <v>598468459</v>
      </c>
      <c r="P52" s="27">
        <f t="shared" si="30"/>
        <v>43103526</v>
      </c>
      <c r="Q52" s="9">
        <v>550468459</v>
      </c>
      <c r="R52" s="25">
        <f t="shared" si="16"/>
        <v>0.85799952596122164</v>
      </c>
      <c r="S52" s="9">
        <v>260000</v>
      </c>
      <c r="T52" s="10">
        <v>0</v>
      </c>
    </row>
    <row r="53" spans="1:20" s="6" customFormat="1" ht="23.25" customHeight="1" x14ac:dyDescent="0.25">
      <c r="A53" s="88" t="s">
        <v>3</v>
      </c>
      <c r="B53" s="7" t="s">
        <v>50</v>
      </c>
      <c r="C53" s="7" t="s">
        <v>50</v>
      </c>
      <c r="D53" s="7" t="s">
        <v>34</v>
      </c>
      <c r="E53" s="7" t="s">
        <v>39</v>
      </c>
      <c r="F53" s="62" t="s">
        <v>39</v>
      </c>
      <c r="G53" s="23" t="s">
        <v>108</v>
      </c>
      <c r="H53" s="7" t="s">
        <v>5</v>
      </c>
      <c r="I53" s="8" t="s">
        <v>6</v>
      </c>
      <c r="J53" s="43">
        <v>386480000</v>
      </c>
      <c r="K53" s="43">
        <f>2800000+770000+3850000</f>
        <v>7420000</v>
      </c>
      <c r="L53" s="43">
        <v>0</v>
      </c>
      <c r="M53" s="43">
        <f>J53+K53-L53</f>
        <v>393900000</v>
      </c>
      <c r="N53" s="27">
        <f>M53-[1]REP_EPG034_EjecucionPresupuesta!$T$45</f>
        <v>0</v>
      </c>
      <c r="O53" s="43">
        <v>211527154</v>
      </c>
      <c r="P53" s="27">
        <f t="shared" si="30"/>
        <v>182372846</v>
      </c>
      <c r="Q53" s="9">
        <v>189635757</v>
      </c>
      <c r="R53" s="25">
        <f t="shared" si="16"/>
        <v>0.48143121858339682</v>
      </c>
      <c r="S53" s="9">
        <v>69575748.239999995</v>
      </c>
      <c r="T53" s="10">
        <v>69575748.239999995</v>
      </c>
    </row>
    <row r="54" spans="1:20" s="6" customFormat="1" x14ac:dyDescent="0.25">
      <c r="A54" s="88" t="s">
        <v>3</v>
      </c>
      <c r="B54" s="7" t="s">
        <v>50</v>
      </c>
      <c r="C54" s="7" t="s">
        <v>50</v>
      </c>
      <c r="D54" s="7" t="s">
        <v>34</v>
      </c>
      <c r="E54" s="7" t="s">
        <v>39</v>
      </c>
      <c r="F54" s="62" t="s">
        <v>40</v>
      </c>
      <c r="G54" s="23" t="s">
        <v>109</v>
      </c>
      <c r="H54" s="7" t="s">
        <v>5</v>
      </c>
      <c r="I54" s="8" t="s">
        <v>6</v>
      </c>
      <c r="J54" s="43">
        <v>412800000</v>
      </c>
      <c r="K54" s="43">
        <v>3200000</v>
      </c>
      <c r="L54" s="43">
        <f>10431293+3790234+770000+3850000+57348+800000+2880735</f>
        <v>22579610</v>
      </c>
      <c r="M54" s="43">
        <f t="shared" si="34"/>
        <v>393420390</v>
      </c>
      <c r="N54" s="27">
        <f>M54-[1]REP_EPG034_EjecucionPresupuesta!$T$46</f>
        <v>0</v>
      </c>
      <c r="O54" s="43">
        <v>335544970</v>
      </c>
      <c r="P54" s="43">
        <f t="shared" si="30"/>
        <v>57875420</v>
      </c>
      <c r="Q54" s="9">
        <v>334844970</v>
      </c>
      <c r="R54" s="25">
        <f t="shared" si="16"/>
        <v>0.85111239404749717</v>
      </c>
      <c r="S54" s="9">
        <v>19438962</v>
      </c>
      <c r="T54" s="10">
        <v>5438629.5</v>
      </c>
    </row>
    <row r="55" spans="1:20" s="6" customFormat="1" ht="29.25" customHeight="1" x14ac:dyDescent="0.25">
      <c r="A55" s="88" t="s">
        <v>3</v>
      </c>
      <c r="B55" s="7" t="s">
        <v>50</v>
      </c>
      <c r="C55" s="7" t="s">
        <v>50</v>
      </c>
      <c r="D55" s="7" t="s">
        <v>34</v>
      </c>
      <c r="E55" s="7" t="s">
        <v>39</v>
      </c>
      <c r="F55" s="62" t="s">
        <v>42</v>
      </c>
      <c r="G55" s="23" t="s">
        <v>110</v>
      </c>
      <c r="H55" s="7" t="s">
        <v>5</v>
      </c>
      <c r="I55" s="8" t="s">
        <v>6</v>
      </c>
      <c r="J55" s="43">
        <v>93970000</v>
      </c>
      <c r="K55" s="43">
        <f>4700000+17628242+1084865+383575+1000000+4025487</f>
        <v>28822169</v>
      </c>
      <c r="L55" s="43">
        <f>958865+1350000+800000+2687166+20628242</f>
        <v>26424273</v>
      </c>
      <c r="M55" s="43">
        <f t="shared" si="34"/>
        <v>96367896</v>
      </c>
      <c r="N55" s="27">
        <v>0</v>
      </c>
      <c r="O55" s="43">
        <v>33522375</v>
      </c>
      <c r="P55" s="43">
        <f t="shared" si="30"/>
        <v>62845521</v>
      </c>
      <c r="Q55" s="9">
        <v>12002375</v>
      </c>
      <c r="R55" s="25">
        <f t="shared" si="16"/>
        <v>0.12454744264625223</v>
      </c>
      <c r="S55" s="9">
        <v>832500</v>
      </c>
      <c r="T55" s="10">
        <v>0</v>
      </c>
    </row>
    <row r="56" spans="1:20" s="6" customFormat="1" ht="16.5" x14ac:dyDescent="0.25">
      <c r="A56" s="88" t="s">
        <v>3</v>
      </c>
      <c r="B56" s="7" t="s">
        <v>50</v>
      </c>
      <c r="C56" s="7" t="s">
        <v>50</v>
      </c>
      <c r="D56" s="7" t="s">
        <v>34</v>
      </c>
      <c r="E56" s="7" t="s">
        <v>39</v>
      </c>
      <c r="F56" s="62" t="s">
        <v>43</v>
      </c>
      <c r="G56" s="23" t="s">
        <v>111</v>
      </c>
      <c r="H56" s="7" t="s">
        <v>5</v>
      </c>
      <c r="I56" s="8" t="s">
        <v>6</v>
      </c>
      <c r="J56" s="43">
        <v>591813000</v>
      </c>
      <c r="K56" s="43">
        <f>600000+2758258+7037922+500000+17021000+3072078+4919084+60000000+14546299+23392318</f>
        <v>133846959</v>
      </c>
      <c r="L56" s="43">
        <f>15000000+10889000+9810000+9633702+82372742+23124556</f>
        <v>150830000</v>
      </c>
      <c r="M56" s="43">
        <f t="shared" si="34"/>
        <v>574829959</v>
      </c>
      <c r="N56" s="9">
        <v>0</v>
      </c>
      <c r="O56" s="43">
        <v>382640044</v>
      </c>
      <c r="P56" s="43">
        <f t="shared" si="30"/>
        <v>192189915</v>
      </c>
      <c r="Q56" s="9">
        <v>167940044</v>
      </c>
      <c r="R56" s="25">
        <f t="shared" si="16"/>
        <v>0.29215603913921961</v>
      </c>
      <c r="S56" s="9">
        <v>77569000</v>
      </c>
      <c r="T56" s="10">
        <v>72019000</v>
      </c>
    </row>
    <row r="57" spans="1:20" s="6" customFormat="1" ht="24.75" x14ac:dyDescent="0.25">
      <c r="A57" s="88" t="s">
        <v>3</v>
      </c>
      <c r="B57" s="7" t="s">
        <v>50</v>
      </c>
      <c r="C57" s="7" t="s">
        <v>50</v>
      </c>
      <c r="D57" s="7" t="s">
        <v>34</v>
      </c>
      <c r="E57" s="7" t="s">
        <v>39</v>
      </c>
      <c r="F57" s="62" t="s">
        <v>44</v>
      </c>
      <c r="G57" s="23" t="s">
        <v>112</v>
      </c>
      <c r="H57" s="7" t="s">
        <v>5</v>
      </c>
      <c r="I57" s="60" t="s">
        <v>6</v>
      </c>
      <c r="J57" s="43">
        <v>134622000</v>
      </c>
      <c r="K57" s="43">
        <f>1600000+750000+71460</f>
        <v>2421460</v>
      </c>
      <c r="L57" s="43">
        <f>28000000+60000000</f>
        <v>88000000</v>
      </c>
      <c r="M57" s="43">
        <f>J57+K57-L57</f>
        <v>49043460</v>
      </c>
      <c r="N57" s="9">
        <v>0</v>
      </c>
      <c r="O57" s="43">
        <v>16222000</v>
      </c>
      <c r="P57" s="27">
        <f t="shared" si="30"/>
        <v>32821460</v>
      </c>
      <c r="Q57" s="9">
        <v>13000000</v>
      </c>
      <c r="R57" s="25">
        <f t="shared" si="16"/>
        <v>0.26507102068247224</v>
      </c>
      <c r="S57" s="9">
        <v>0</v>
      </c>
      <c r="T57" s="10">
        <v>0</v>
      </c>
    </row>
    <row r="58" spans="1:20" s="6" customFormat="1" ht="16.5" x14ac:dyDescent="0.25">
      <c r="A58" s="88" t="s">
        <v>3</v>
      </c>
      <c r="B58" s="7" t="s">
        <v>50</v>
      </c>
      <c r="C58" s="7" t="s">
        <v>50</v>
      </c>
      <c r="D58" s="7" t="s">
        <v>34</v>
      </c>
      <c r="E58" s="7" t="s">
        <v>39</v>
      </c>
      <c r="F58" s="62" t="s">
        <v>45</v>
      </c>
      <c r="G58" s="23" t="s">
        <v>113</v>
      </c>
      <c r="H58" s="7" t="s">
        <v>5</v>
      </c>
      <c r="I58" s="8" t="s">
        <v>6</v>
      </c>
      <c r="J58" s="43">
        <v>97150000</v>
      </c>
      <c r="K58" s="43">
        <f>3939200+1169986+6037170</f>
        <v>11146356</v>
      </c>
      <c r="L58" s="43">
        <f>1000000+1999200+9700000+3010000+22000000+16000000</f>
        <v>53709200</v>
      </c>
      <c r="M58" s="43">
        <f>J58+K58-L58</f>
        <v>54587156</v>
      </c>
      <c r="N58" s="9">
        <v>0</v>
      </c>
      <c r="O58" s="43">
        <v>10533566</v>
      </c>
      <c r="P58" s="27">
        <f>+M58-O58-N58</f>
        <v>44053590</v>
      </c>
      <c r="Q58" s="9">
        <v>4043566</v>
      </c>
      <c r="R58" s="25">
        <f t="shared" si="16"/>
        <v>7.4075410706503919E-2</v>
      </c>
      <c r="S58" s="9">
        <v>16000</v>
      </c>
      <c r="T58" s="10">
        <v>0</v>
      </c>
    </row>
    <row r="59" spans="1:20" s="6" customFormat="1" x14ac:dyDescent="0.25">
      <c r="A59" s="88" t="s">
        <v>3</v>
      </c>
      <c r="B59" s="7" t="s">
        <v>50</v>
      </c>
      <c r="C59" s="7" t="s">
        <v>50</v>
      </c>
      <c r="D59" s="7" t="s">
        <v>34</v>
      </c>
      <c r="E59" s="7" t="s">
        <v>40</v>
      </c>
      <c r="F59" s="62" t="s">
        <v>35</v>
      </c>
      <c r="G59" s="23" t="s">
        <v>114</v>
      </c>
      <c r="H59" s="7" t="s">
        <v>5</v>
      </c>
      <c r="I59" s="8" t="s">
        <v>6</v>
      </c>
      <c r="J59" s="43">
        <v>7300000</v>
      </c>
      <c r="K59" s="43">
        <v>254184</v>
      </c>
      <c r="L59" s="43">
        <v>4600000</v>
      </c>
      <c r="M59" s="43">
        <f>J59+K59-L59</f>
        <v>2954184</v>
      </c>
      <c r="N59" s="9">
        <v>0</v>
      </c>
      <c r="O59" s="43">
        <v>2700000</v>
      </c>
      <c r="P59" s="27">
        <f t="shared" si="30"/>
        <v>254184</v>
      </c>
      <c r="Q59" s="9">
        <v>2000000</v>
      </c>
      <c r="R59" s="25">
        <f>IF(Q59&gt;1,Q59/(M59-N59),0)</f>
        <v>0.67700590078343126</v>
      </c>
      <c r="S59" s="9">
        <v>0</v>
      </c>
      <c r="T59" s="10">
        <v>0</v>
      </c>
    </row>
    <row r="60" spans="1:20" s="6" customFormat="1" ht="24.75" x14ac:dyDescent="0.25">
      <c r="A60" s="88" t="s">
        <v>3</v>
      </c>
      <c r="B60" s="7" t="s">
        <v>50</v>
      </c>
      <c r="C60" s="7" t="s">
        <v>50</v>
      </c>
      <c r="D60" s="7" t="s">
        <v>34</v>
      </c>
      <c r="E60" s="7" t="s">
        <v>40</v>
      </c>
      <c r="F60" s="62" t="s">
        <v>37</v>
      </c>
      <c r="G60" s="23" t="s">
        <v>115</v>
      </c>
      <c r="H60" s="7" t="s">
        <v>5</v>
      </c>
      <c r="I60" s="8" t="s">
        <v>6</v>
      </c>
      <c r="J60" s="43">
        <v>125094000</v>
      </c>
      <c r="K60" s="43">
        <f>4400000+898743+1612600+66084644+72752798+4000000+21015880</f>
        <v>170764665</v>
      </c>
      <c r="L60" s="43">
        <f>2529750+683743+924000+2020000+226691</f>
        <v>6384184</v>
      </c>
      <c r="M60" s="43">
        <f t="shared" si="34"/>
        <v>289474481</v>
      </c>
      <c r="N60" s="9">
        <f>M60-[1]REP_EPG034_EjecucionPresupuesta!$T$52</f>
        <v>0</v>
      </c>
      <c r="O60" s="43">
        <v>51350810</v>
      </c>
      <c r="P60" s="27">
        <f t="shared" si="30"/>
        <v>238123671</v>
      </c>
      <c r="Q60" s="9">
        <v>16200810</v>
      </c>
      <c r="R60" s="25">
        <f t="shared" si="16"/>
        <v>5.596628049572356E-2</v>
      </c>
      <c r="S60" s="9">
        <v>1400000</v>
      </c>
      <c r="T60" s="10">
        <v>0</v>
      </c>
    </row>
    <row r="61" spans="1:20" s="6" customFormat="1" ht="16.5" x14ac:dyDescent="0.25">
      <c r="A61" s="88" t="s">
        <v>3</v>
      </c>
      <c r="B61" s="7" t="s">
        <v>50</v>
      </c>
      <c r="C61" s="7" t="s">
        <v>50</v>
      </c>
      <c r="D61" s="7" t="s">
        <v>34</v>
      </c>
      <c r="E61" s="7" t="s">
        <v>40</v>
      </c>
      <c r="F61" s="62" t="s">
        <v>39</v>
      </c>
      <c r="G61" s="23" t="s">
        <v>105</v>
      </c>
      <c r="H61" s="7" t="s">
        <v>5</v>
      </c>
      <c r="I61" s="8" t="s">
        <v>6</v>
      </c>
      <c r="J61" s="43">
        <v>2550000</v>
      </c>
      <c r="K61" s="43">
        <f>1142400+11915580+742560</f>
        <v>13800540</v>
      </c>
      <c r="L61" s="43"/>
      <c r="M61" s="43">
        <f t="shared" si="34"/>
        <v>16350540</v>
      </c>
      <c r="N61" s="9">
        <f>M61-[1]REP_EPG034_EjecucionPresupuesta!$T$53</f>
        <v>0</v>
      </c>
      <c r="O61" s="43">
        <v>2550000</v>
      </c>
      <c r="P61" s="27">
        <f t="shared" si="30"/>
        <v>13800540</v>
      </c>
      <c r="Q61" s="9">
        <v>0</v>
      </c>
      <c r="R61" s="25">
        <f>IF(Q61&gt;1,Q61/(M61-N61),0)</f>
        <v>0</v>
      </c>
      <c r="S61" s="9">
        <v>0</v>
      </c>
      <c r="T61" s="10">
        <v>0</v>
      </c>
    </row>
    <row r="62" spans="1:20" s="6" customFormat="1" ht="16.5" x14ac:dyDescent="0.25">
      <c r="A62" s="88" t="s">
        <v>3</v>
      </c>
      <c r="B62" s="7" t="s">
        <v>50</v>
      </c>
      <c r="C62" s="7" t="s">
        <v>50</v>
      </c>
      <c r="D62" s="7" t="s">
        <v>34</v>
      </c>
      <c r="E62" s="7" t="s">
        <v>40</v>
      </c>
      <c r="F62" s="62" t="s">
        <v>40</v>
      </c>
      <c r="G62" s="23" t="s">
        <v>106</v>
      </c>
      <c r="H62" s="7" t="s">
        <v>5</v>
      </c>
      <c r="I62" s="8" t="s">
        <v>6</v>
      </c>
      <c r="J62" s="43">
        <v>4000000</v>
      </c>
      <c r="K62" s="43">
        <f>4426800+2641800</f>
        <v>7068600</v>
      </c>
      <c r="L62" s="43"/>
      <c r="M62" s="43">
        <f>J62+K62-L62</f>
        <v>11068600</v>
      </c>
      <c r="N62" s="9">
        <f>M62-[1]REP_EPG034_EjecucionPresupuesta!$T$54</f>
        <v>0</v>
      </c>
      <c r="O62" s="43">
        <v>4000000</v>
      </c>
      <c r="P62" s="27">
        <f t="shared" ref="P62:P63" si="37">+M62-O62-N62</f>
        <v>7068600</v>
      </c>
      <c r="Q62" s="9">
        <v>0</v>
      </c>
      <c r="R62" s="25">
        <f t="shared" ref="R62:R64" si="38">IF(Q62&gt;1,Q62/(M62-N62),0)</f>
        <v>0</v>
      </c>
      <c r="S62" s="9">
        <v>0</v>
      </c>
      <c r="T62" s="10">
        <v>0</v>
      </c>
    </row>
    <row r="63" spans="1:20" s="6" customFormat="1" ht="16.5" x14ac:dyDescent="0.25">
      <c r="A63" s="88" t="s">
        <v>3</v>
      </c>
      <c r="B63" s="7" t="s">
        <v>50</v>
      </c>
      <c r="C63" s="7" t="s">
        <v>50</v>
      </c>
      <c r="D63" s="7" t="s">
        <v>34</v>
      </c>
      <c r="E63" s="7" t="s">
        <v>40</v>
      </c>
      <c r="F63" s="62" t="s">
        <v>42</v>
      </c>
      <c r="G63" s="23" t="s">
        <v>116</v>
      </c>
      <c r="H63" s="7" t="s">
        <v>5</v>
      </c>
      <c r="I63" s="8" t="s">
        <v>6</v>
      </c>
      <c r="J63" s="43">
        <v>17010000</v>
      </c>
      <c r="K63" s="43">
        <f>260000+17000000</f>
        <v>17260000</v>
      </c>
      <c r="L63" s="43">
        <f>238000+1400000+360000+12500000</f>
        <v>14498000</v>
      </c>
      <c r="M63" s="43">
        <f t="shared" si="34"/>
        <v>19772000</v>
      </c>
      <c r="N63" s="9">
        <v>0</v>
      </c>
      <c r="O63" s="43">
        <v>2769500</v>
      </c>
      <c r="P63" s="27">
        <f t="shared" si="37"/>
        <v>17002500</v>
      </c>
      <c r="Q63" s="9">
        <v>19500</v>
      </c>
      <c r="R63" s="25">
        <f t="shared" si="38"/>
        <v>9.8624317216265429E-4</v>
      </c>
      <c r="S63" s="9">
        <v>0</v>
      </c>
      <c r="T63" s="10">
        <v>0</v>
      </c>
    </row>
    <row r="64" spans="1:20" s="6" customFormat="1" ht="16.5" x14ac:dyDescent="0.25">
      <c r="A64" s="88" t="s">
        <v>3</v>
      </c>
      <c r="B64" s="7" t="s">
        <v>50</v>
      </c>
      <c r="C64" s="7" t="s">
        <v>50</v>
      </c>
      <c r="D64" s="7" t="s">
        <v>34</v>
      </c>
      <c r="E64" s="7" t="s">
        <v>40</v>
      </c>
      <c r="F64" s="62" t="s">
        <v>43</v>
      </c>
      <c r="G64" s="23" t="s">
        <v>117</v>
      </c>
      <c r="H64" s="7" t="s">
        <v>5</v>
      </c>
      <c r="I64" s="8" t="s">
        <v>6</v>
      </c>
      <c r="J64" s="43">
        <v>133240000</v>
      </c>
      <c r="K64" s="43">
        <f>12000000+3400000</f>
        <v>15400000</v>
      </c>
      <c r="L64" s="43">
        <f>3400000+28112774+25000000</f>
        <v>56512774</v>
      </c>
      <c r="M64" s="43">
        <f>J64+K64-L64</f>
        <v>92127226</v>
      </c>
      <c r="N64" s="9">
        <f>M64-[1]REP_EPG034_EjecucionPresupuesta!$T$56</f>
        <v>0</v>
      </c>
      <c r="O64" s="43">
        <v>72840000</v>
      </c>
      <c r="P64" s="27">
        <f>+M64-O64-N64</f>
        <v>19287226</v>
      </c>
      <c r="Q64" s="9">
        <v>50000000</v>
      </c>
      <c r="R64" s="25">
        <f t="shared" si="38"/>
        <v>0.54272772741469499</v>
      </c>
      <c r="S64" s="9">
        <v>0</v>
      </c>
      <c r="T64" s="10">
        <v>0</v>
      </c>
    </row>
    <row r="65" spans="1:20" s="6" customFormat="1" ht="16.5" x14ac:dyDescent="0.25">
      <c r="A65" s="88" t="s">
        <v>3</v>
      </c>
      <c r="B65" s="7" t="s">
        <v>50</v>
      </c>
      <c r="C65" s="7" t="s">
        <v>50</v>
      </c>
      <c r="D65" s="7" t="s">
        <v>34</v>
      </c>
      <c r="E65" s="7" t="s">
        <v>40</v>
      </c>
      <c r="F65" s="62" t="s">
        <v>44</v>
      </c>
      <c r="G65" s="23" t="s">
        <v>224</v>
      </c>
      <c r="H65" s="7" t="s">
        <v>5</v>
      </c>
      <c r="I65" s="8" t="s">
        <v>6</v>
      </c>
      <c r="J65" s="43">
        <v>0</v>
      </c>
      <c r="K65" s="43">
        <f>20845500+20000000+19047552</f>
        <v>59893052</v>
      </c>
      <c r="L65" s="43">
        <f>20000000+19047552</f>
        <v>39047552</v>
      </c>
      <c r="M65" s="43">
        <f>J65+K65-L65</f>
        <v>20845500</v>
      </c>
      <c r="N65" s="9">
        <v>0</v>
      </c>
      <c r="O65" s="43">
        <v>0</v>
      </c>
      <c r="P65" s="27">
        <f>+M65-O65-N65</f>
        <v>20845500</v>
      </c>
      <c r="Q65" s="9">
        <v>0</v>
      </c>
      <c r="R65" s="25">
        <f t="shared" ref="R65" si="39">IF(Q65&gt;1,Q65/(M65-N65),0)</f>
        <v>0</v>
      </c>
      <c r="S65" s="9">
        <v>0</v>
      </c>
      <c r="T65" s="10">
        <v>0</v>
      </c>
    </row>
    <row r="66" spans="1:20" s="6" customFormat="1" ht="24.75" x14ac:dyDescent="0.25">
      <c r="A66" s="88" t="s">
        <v>3</v>
      </c>
      <c r="B66" s="7" t="s">
        <v>50</v>
      </c>
      <c r="C66" s="62" t="s">
        <v>50</v>
      </c>
      <c r="D66" s="7" t="s">
        <v>34</v>
      </c>
      <c r="E66" s="7" t="s">
        <v>40</v>
      </c>
      <c r="F66" s="62" t="s">
        <v>45</v>
      </c>
      <c r="G66" s="23" t="s">
        <v>135</v>
      </c>
      <c r="H66" s="7" t="s">
        <v>5</v>
      </c>
      <c r="I66" s="8" t="s">
        <v>6</v>
      </c>
      <c r="J66" s="43">
        <v>17343000</v>
      </c>
      <c r="K66" s="43">
        <f>915932+303630+23370+12852000+599760</f>
        <v>14694692</v>
      </c>
      <c r="L66" s="43">
        <f>11000000+43000</f>
        <v>11043000</v>
      </c>
      <c r="M66" s="43">
        <f t="shared" si="34"/>
        <v>20994692</v>
      </c>
      <c r="N66" s="9">
        <f>M66-[1]REP_EPG034_EjecucionPresupuesta!$T$58</f>
        <v>0</v>
      </c>
      <c r="O66" s="43">
        <v>6334932</v>
      </c>
      <c r="P66" s="27">
        <f t="shared" si="30"/>
        <v>14659760</v>
      </c>
      <c r="Q66" s="9">
        <v>1234932</v>
      </c>
      <c r="R66" s="25">
        <f t="shared" si="16"/>
        <v>5.8821153461074825E-2</v>
      </c>
      <c r="S66" s="9">
        <v>915932</v>
      </c>
      <c r="T66" s="10">
        <v>915932</v>
      </c>
    </row>
    <row r="67" spans="1:20" s="6" customFormat="1" x14ac:dyDescent="0.25">
      <c r="A67" s="88" t="s">
        <v>3</v>
      </c>
      <c r="B67" s="7" t="s">
        <v>50</v>
      </c>
      <c r="C67" s="7" t="s">
        <v>50</v>
      </c>
      <c r="D67" s="7" t="s">
        <v>50</v>
      </c>
      <c r="E67" s="7" t="s">
        <v>42</v>
      </c>
      <c r="F67" s="62" t="s">
        <v>40</v>
      </c>
      <c r="G67" s="23" t="s">
        <v>118</v>
      </c>
      <c r="H67" s="7" t="s">
        <v>5</v>
      </c>
      <c r="I67" s="8" t="s">
        <v>6</v>
      </c>
      <c r="J67" s="43">
        <v>2038000000</v>
      </c>
      <c r="K67" s="43">
        <f>100000000+40000000</f>
        <v>140000000</v>
      </c>
      <c r="L67" s="43"/>
      <c r="M67" s="43">
        <f t="shared" si="34"/>
        <v>2178000000</v>
      </c>
      <c r="N67" s="9">
        <v>0</v>
      </c>
      <c r="O67" s="43">
        <v>374541374</v>
      </c>
      <c r="P67" s="27">
        <f>+M67-O67-N67</f>
        <v>1803458626</v>
      </c>
      <c r="Q67" s="9">
        <v>54541374</v>
      </c>
      <c r="R67" s="25">
        <f t="shared" si="16"/>
        <v>2.5041953168044077E-2</v>
      </c>
      <c r="S67" s="9">
        <v>0</v>
      </c>
      <c r="T67" s="10">
        <v>0</v>
      </c>
    </row>
    <row r="68" spans="1:20" s="6" customFormat="1" ht="16.5" x14ac:dyDescent="0.25">
      <c r="A68" s="88" t="s">
        <v>3</v>
      </c>
      <c r="B68" s="7" t="s">
        <v>50</v>
      </c>
      <c r="C68" s="7" t="s">
        <v>50</v>
      </c>
      <c r="D68" s="7" t="s">
        <v>50</v>
      </c>
      <c r="E68" s="7" t="s">
        <v>43</v>
      </c>
      <c r="F68" s="62" t="s">
        <v>40</v>
      </c>
      <c r="G68" s="23" t="s">
        <v>119</v>
      </c>
      <c r="H68" s="7" t="s">
        <v>5</v>
      </c>
      <c r="I68" s="8" t="s">
        <v>6</v>
      </c>
      <c r="J68" s="43">
        <v>877000000</v>
      </c>
      <c r="K68" s="43">
        <v>215000000</v>
      </c>
      <c r="L68" s="43"/>
      <c r="M68" s="43">
        <f t="shared" si="34"/>
        <v>1092000000</v>
      </c>
      <c r="N68" s="9">
        <v>0</v>
      </c>
      <c r="O68" s="43">
        <v>1092000000</v>
      </c>
      <c r="P68" s="27">
        <f t="shared" si="30"/>
        <v>0</v>
      </c>
      <c r="Q68" s="9">
        <v>999344178</v>
      </c>
      <c r="R68" s="25">
        <f t="shared" si="16"/>
        <v>0.91515034615384616</v>
      </c>
      <c r="S68" s="9">
        <v>381253776.42000002</v>
      </c>
      <c r="T68" s="10">
        <v>379650376.42000002</v>
      </c>
    </row>
    <row r="69" spans="1:20" s="6" customFormat="1" ht="16.5" x14ac:dyDescent="0.25">
      <c r="A69" s="88" t="s">
        <v>3</v>
      </c>
      <c r="B69" s="7" t="s">
        <v>50</v>
      </c>
      <c r="C69" s="7" t="s">
        <v>50</v>
      </c>
      <c r="D69" s="7" t="s">
        <v>50</v>
      </c>
      <c r="E69" s="7" t="s">
        <v>43</v>
      </c>
      <c r="F69" s="62" t="s">
        <v>42</v>
      </c>
      <c r="G69" s="23" t="s">
        <v>120</v>
      </c>
      <c r="H69" s="7" t="s">
        <v>5</v>
      </c>
      <c r="I69" s="8" t="s">
        <v>6</v>
      </c>
      <c r="J69" s="43">
        <v>407000000</v>
      </c>
      <c r="K69" s="43"/>
      <c r="L69" s="43">
        <v>500000</v>
      </c>
      <c r="M69" s="43">
        <f t="shared" si="34"/>
        <v>406500000</v>
      </c>
      <c r="N69" s="9">
        <v>0</v>
      </c>
      <c r="O69" s="43">
        <v>303400000</v>
      </c>
      <c r="P69" s="27">
        <f t="shared" si="30"/>
        <v>103100000</v>
      </c>
      <c r="Q69" s="9">
        <v>303400000</v>
      </c>
      <c r="R69" s="25">
        <f t="shared" si="16"/>
        <v>0.74637146371463714</v>
      </c>
      <c r="S69" s="9">
        <v>57041148</v>
      </c>
      <c r="T69" s="10">
        <v>57041148</v>
      </c>
    </row>
    <row r="70" spans="1:20" s="6" customFormat="1" ht="16.5" x14ac:dyDescent="0.25">
      <c r="A70" s="88" t="s">
        <v>3</v>
      </c>
      <c r="B70" s="7" t="s">
        <v>50</v>
      </c>
      <c r="C70" s="7" t="s">
        <v>50</v>
      </c>
      <c r="D70" s="7" t="s">
        <v>50</v>
      </c>
      <c r="E70" s="7" t="s">
        <v>43</v>
      </c>
      <c r="F70" s="62" t="s">
        <v>45</v>
      </c>
      <c r="G70" s="23" t="s">
        <v>121</v>
      </c>
      <c r="H70" s="7" t="s">
        <v>5</v>
      </c>
      <c r="I70" s="8" t="s">
        <v>6</v>
      </c>
      <c r="J70" s="43">
        <v>188000000</v>
      </c>
      <c r="K70" s="43"/>
      <c r="L70" s="43"/>
      <c r="M70" s="43">
        <f t="shared" si="34"/>
        <v>188000000</v>
      </c>
      <c r="N70" s="9">
        <v>0</v>
      </c>
      <c r="O70" s="43">
        <v>118195000</v>
      </c>
      <c r="P70" s="27">
        <f t="shared" si="30"/>
        <v>69805000</v>
      </c>
      <c r="Q70" s="9">
        <v>118195000</v>
      </c>
      <c r="R70" s="25">
        <f t="shared" si="16"/>
        <v>0.62869680851063825</v>
      </c>
      <c r="S70" s="9">
        <v>26807885</v>
      </c>
      <c r="T70" s="10">
        <v>26807885</v>
      </c>
    </row>
    <row r="71" spans="1:20" s="6" customFormat="1" ht="24.75" x14ac:dyDescent="0.25">
      <c r="A71" s="88" t="s">
        <v>3</v>
      </c>
      <c r="B71" s="7" t="s">
        <v>50</v>
      </c>
      <c r="C71" s="7" t="s">
        <v>50</v>
      </c>
      <c r="D71" s="7" t="s">
        <v>50</v>
      </c>
      <c r="E71" s="7" t="s">
        <v>43</v>
      </c>
      <c r="F71" s="62" t="s">
        <v>46</v>
      </c>
      <c r="G71" s="23" t="s">
        <v>122</v>
      </c>
      <c r="H71" s="7" t="s">
        <v>5</v>
      </c>
      <c r="I71" s="8" t="s">
        <v>6</v>
      </c>
      <c r="J71" s="43">
        <v>5465000000</v>
      </c>
      <c r="K71" s="43"/>
      <c r="L71" s="43">
        <f>520730+9000+29000000</f>
        <v>29529730</v>
      </c>
      <c r="M71" s="43">
        <f>J71+K71-L71-6516396</f>
        <v>5428953874</v>
      </c>
      <c r="N71" s="27">
        <v>0</v>
      </c>
      <c r="O71" s="43">
        <v>4930827071</v>
      </c>
      <c r="P71" s="27">
        <f t="shared" si="30"/>
        <v>498126803</v>
      </c>
      <c r="Q71" s="9">
        <v>1980598575</v>
      </c>
      <c r="R71" s="25">
        <f t="shared" si="16"/>
        <v>0.36482140408032504</v>
      </c>
      <c r="S71" s="9">
        <v>1960840836</v>
      </c>
      <c r="T71" s="10">
        <v>1960840836</v>
      </c>
    </row>
    <row r="72" spans="1:20" s="6" customFormat="1" ht="24.75" x14ac:dyDescent="0.25">
      <c r="A72" s="88" t="s">
        <v>3</v>
      </c>
      <c r="B72" s="7" t="s">
        <v>50</v>
      </c>
      <c r="C72" s="7" t="s">
        <v>50</v>
      </c>
      <c r="D72" s="7" t="s">
        <v>50</v>
      </c>
      <c r="E72" s="7" t="s">
        <v>43</v>
      </c>
      <c r="F72" s="62" t="s">
        <v>46</v>
      </c>
      <c r="G72" s="23" t="s">
        <v>122</v>
      </c>
      <c r="H72" s="7" t="s">
        <v>8</v>
      </c>
      <c r="I72" s="8" t="s">
        <v>9</v>
      </c>
      <c r="J72" s="43">
        <v>900000000</v>
      </c>
      <c r="K72" s="43"/>
      <c r="L72" s="43"/>
      <c r="M72" s="43">
        <f t="shared" si="34"/>
        <v>900000000</v>
      </c>
      <c r="N72" s="9">
        <v>0</v>
      </c>
      <c r="O72" s="43">
        <v>0</v>
      </c>
      <c r="P72" s="27">
        <f t="shared" si="30"/>
        <v>900000000</v>
      </c>
      <c r="Q72" s="9">
        <v>0</v>
      </c>
      <c r="R72" s="25">
        <f t="shared" si="16"/>
        <v>0</v>
      </c>
      <c r="S72" s="9">
        <v>0</v>
      </c>
      <c r="T72" s="10">
        <v>0</v>
      </c>
    </row>
    <row r="73" spans="1:20" s="6" customFormat="1" ht="16.5" x14ac:dyDescent="0.25">
      <c r="A73" s="88" t="s">
        <v>3</v>
      </c>
      <c r="B73" s="7" t="s">
        <v>50</v>
      </c>
      <c r="C73" s="7" t="s">
        <v>50</v>
      </c>
      <c r="D73" s="7" t="s">
        <v>50</v>
      </c>
      <c r="E73" s="7" t="s">
        <v>44</v>
      </c>
      <c r="F73" s="62" t="s">
        <v>35</v>
      </c>
      <c r="G73" s="23" t="s">
        <v>123</v>
      </c>
      <c r="H73" s="7" t="s">
        <v>5</v>
      </c>
      <c r="I73" s="8" t="s">
        <v>6</v>
      </c>
      <c r="J73" s="43">
        <v>3620000000</v>
      </c>
      <c r="K73" s="43"/>
      <c r="L73" s="43"/>
      <c r="M73" s="43">
        <f t="shared" si="34"/>
        <v>3620000000</v>
      </c>
      <c r="N73" s="9">
        <v>0</v>
      </c>
      <c r="O73" s="43">
        <v>3333875965</v>
      </c>
      <c r="P73" s="27">
        <f t="shared" si="30"/>
        <v>286124035</v>
      </c>
      <c r="Q73" s="9">
        <v>3278376905</v>
      </c>
      <c r="R73" s="25">
        <f t="shared" si="16"/>
        <v>0.905628979281768</v>
      </c>
      <c r="S73" s="9">
        <v>3208442367</v>
      </c>
      <c r="T73" s="10">
        <v>3208442367</v>
      </c>
    </row>
    <row r="74" spans="1:20" s="6" customFormat="1" x14ac:dyDescent="0.25">
      <c r="A74" s="88" t="s">
        <v>3</v>
      </c>
      <c r="B74" s="7" t="s">
        <v>50</v>
      </c>
      <c r="C74" s="7" t="s">
        <v>50</v>
      </c>
      <c r="D74" s="7" t="s">
        <v>50</v>
      </c>
      <c r="E74" s="7" t="s">
        <v>44</v>
      </c>
      <c r="F74" s="62" t="s">
        <v>37</v>
      </c>
      <c r="G74" s="23" t="s">
        <v>124</v>
      </c>
      <c r="H74" s="7" t="s">
        <v>5</v>
      </c>
      <c r="I74" s="8" t="s">
        <v>6</v>
      </c>
      <c r="J74" s="43">
        <v>5279000000</v>
      </c>
      <c r="K74" s="43">
        <v>0</v>
      </c>
      <c r="L74" s="43">
        <f>136013392+215000000</f>
        <v>351013392</v>
      </c>
      <c r="M74" s="43">
        <f t="shared" si="34"/>
        <v>4927986608</v>
      </c>
      <c r="N74" s="9">
        <v>0</v>
      </c>
      <c r="O74" s="43">
        <v>3623625807</v>
      </c>
      <c r="P74" s="27">
        <f t="shared" si="30"/>
        <v>1304360801</v>
      </c>
      <c r="Q74" s="9">
        <v>3360311443</v>
      </c>
      <c r="R74" s="25">
        <f t="shared" si="16"/>
        <v>0.68188323351872226</v>
      </c>
      <c r="S74" s="9">
        <v>1653501966.3599999</v>
      </c>
      <c r="T74" s="10">
        <v>1607551659.3599999</v>
      </c>
    </row>
    <row r="75" spans="1:20" s="6" customFormat="1" ht="16.5" x14ac:dyDescent="0.25">
      <c r="A75" s="88" t="s">
        <v>3</v>
      </c>
      <c r="B75" s="7" t="s">
        <v>50</v>
      </c>
      <c r="C75" s="7" t="s">
        <v>50</v>
      </c>
      <c r="D75" s="7" t="s">
        <v>50</v>
      </c>
      <c r="E75" s="7" t="s">
        <v>45</v>
      </c>
      <c r="F75" s="62" t="s">
        <v>37</v>
      </c>
      <c r="G75" s="104" t="s">
        <v>125</v>
      </c>
      <c r="H75" s="7" t="s">
        <v>5</v>
      </c>
      <c r="I75" s="8" t="s">
        <v>6</v>
      </c>
      <c r="J75" s="43">
        <v>879764280</v>
      </c>
      <c r="K75" s="43">
        <f>300000000+80000000+50000000</f>
        <v>430000000</v>
      </c>
      <c r="L75" s="43">
        <f>17021000+50922730</f>
        <v>67943730</v>
      </c>
      <c r="M75" s="43">
        <f t="shared" si="34"/>
        <v>1241820550</v>
      </c>
      <c r="N75" s="9"/>
      <c r="O75" s="43">
        <v>1211112825</v>
      </c>
      <c r="P75" s="27">
        <f t="shared" si="30"/>
        <v>30707725</v>
      </c>
      <c r="Q75" s="9">
        <v>1211112825</v>
      </c>
      <c r="R75" s="25">
        <f t="shared" si="16"/>
        <v>0.97527201091977422</v>
      </c>
      <c r="S75" s="9">
        <v>433108697</v>
      </c>
      <c r="T75" s="10">
        <v>433108697</v>
      </c>
    </row>
    <row r="76" spans="1:20" s="6" customFormat="1" ht="41.25" x14ac:dyDescent="0.25">
      <c r="A76" s="88" t="s">
        <v>3</v>
      </c>
      <c r="B76" s="7" t="s">
        <v>50</v>
      </c>
      <c r="C76" s="7" t="s">
        <v>50</v>
      </c>
      <c r="D76" s="7" t="s">
        <v>50</v>
      </c>
      <c r="E76" s="7" t="s">
        <v>45</v>
      </c>
      <c r="F76" s="62" t="s">
        <v>39</v>
      </c>
      <c r="G76" s="23" t="s">
        <v>136</v>
      </c>
      <c r="H76" s="7" t="s">
        <v>5</v>
      </c>
      <c r="I76" s="8" t="s">
        <v>6</v>
      </c>
      <c r="J76" s="43">
        <v>2108109993</v>
      </c>
      <c r="K76" s="43">
        <f>520730+9000+203225766+2000000+3000000+50922730+17021000</f>
        <v>276699226</v>
      </c>
      <c r="L76" s="43">
        <f>15000000+26449310</f>
        <v>41449310</v>
      </c>
      <c r="M76" s="43">
        <f>J76+K76-L76</f>
        <v>2343359909</v>
      </c>
      <c r="N76" s="27">
        <f>M76-[1]REP_EPG034_EjecucionPresupuesta!$T$68</f>
        <v>0</v>
      </c>
      <c r="O76" s="43">
        <v>1629628268</v>
      </c>
      <c r="P76" s="27">
        <f t="shared" si="30"/>
        <v>713731641</v>
      </c>
      <c r="Q76" s="9">
        <v>1227045340</v>
      </c>
      <c r="R76" s="25">
        <f t="shared" ref="R76:R87" si="40">IF(Q76&gt;1,Q76/(M76-N76),0)</f>
        <v>0.52362649684641338</v>
      </c>
      <c r="S76" s="9">
        <v>423367743.5</v>
      </c>
      <c r="T76" s="10">
        <v>423367743.5</v>
      </c>
    </row>
    <row r="77" spans="1:20" s="6" customFormat="1" ht="33" x14ac:dyDescent="0.25">
      <c r="A77" s="88" t="s">
        <v>3</v>
      </c>
      <c r="B77" s="7" t="s">
        <v>50</v>
      </c>
      <c r="C77" s="7" t="s">
        <v>50</v>
      </c>
      <c r="D77" s="7" t="s">
        <v>50</v>
      </c>
      <c r="E77" s="7" t="s">
        <v>45</v>
      </c>
      <c r="F77" s="62" t="s">
        <v>40</v>
      </c>
      <c r="G77" s="23" t="s">
        <v>126</v>
      </c>
      <c r="H77" s="7" t="s">
        <v>5</v>
      </c>
      <c r="I77" s="8" t="s">
        <v>6</v>
      </c>
      <c r="J77" s="43">
        <v>168000000</v>
      </c>
      <c r="K77" s="43">
        <v>0</v>
      </c>
      <c r="L77" s="43"/>
      <c r="M77" s="43">
        <f t="shared" si="34"/>
        <v>168000000</v>
      </c>
      <c r="N77" s="9">
        <v>0</v>
      </c>
      <c r="O77" s="43">
        <v>60823803.759999998</v>
      </c>
      <c r="P77" s="27">
        <f t="shared" si="30"/>
        <v>107176196.24000001</v>
      </c>
      <c r="Q77" s="9">
        <v>60823803.759999998</v>
      </c>
      <c r="R77" s="25">
        <f t="shared" si="40"/>
        <v>0.36204645095238092</v>
      </c>
      <c r="S77" s="9">
        <v>60823803.759999998</v>
      </c>
      <c r="T77" s="10">
        <v>60823803.759999998</v>
      </c>
    </row>
    <row r="78" spans="1:20" s="6" customFormat="1" x14ac:dyDescent="0.25">
      <c r="A78" s="88" t="s">
        <v>3</v>
      </c>
      <c r="B78" s="7" t="s">
        <v>50</v>
      </c>
      <c r="C78" s="7" t="s">
        <v>50</v>
      </c>
      <c r="D78" s="7" t="s">
        <v>50</v>
      </c>
      <c r="E78" s="7" t="s">
        <v>45</v>
      </c>
      <c r="F78" s="62" t="s">
        <v>42</v>
      </c>
      <c r="G78" s="23" t="s">
        <v>127</v>
      </c>
      <c r="H78" s="7" t="s">
        <v>5</v>
      </c>
      <c r="I78" s="8" t="s">
        <v>6</v>
      </c>
      <c r="J78" s="43">
        <v>23946277574</v>
      </c>
      <c r="K78" s="43"/>
      <c r="L78" s="43">
        <f>503225766+80000000+50000000</f>
        <v>633225766</v>
      </c>
      <c r="M78" s="43">
        <f>J78+K78-L78</f>
        <v>23313051808</v>
      </c>
      <c r="N78" s="9">
        <v>0</v>
      </c>
      <c r="O78" s="43">
        <v>12443136239.82</v>
      </c>
      <c r="P78" s="27">
        <f t="shared" si="30"/>
        <v>10869915568.18</v>
      </c>
      <c r="Q78" s="9">
        <v>12443136239.82</v>
      </c>
      <c r="R78" s="25">
        <f t="shared" si="40"/>
        <v>0.53374119966353228</v>
      </c>
      <c r="S78" s="9">
        <v>6801356688</v>
      </c>
      <c r="T78" s="10">
        <v>6801356688</v>
      </c>
    </row>
    <row r="79" spans="1:20" s="6" customFormat="1" x14ac:dyDescent="0.25">
      <c r="A79" s="88" t="s">
        <v>3</v>
      </c>
      <c r="B79" s="7" t="s">
        <v>50</v>
      </c>
      <c r="C79" s="7" t="s">
        <v>50</v>
      </c>
      <c r="D79" s="7" t="s">
        <v>50</v>
      </c>
      <c r="E79" s="7" t="s">
        <v>45</v>
      </c>
      <c r="F79" s="62" t="s">
        <v>42</v>
      </c>
      <c r="G79" s="23" t="s">
        <v>127</v>
      </c>
      <c r="H79" s="7" t="s">
        <v>5</v>
      </c>
      <c r="I79" s="8">
        <v>20</v>
      </c>
      <c r="J79" s="43">
        <v>1973920000</v>
      </c>
      <c r="K79" s="43"/>
      <c r="L79" s="43"/>
      <c r="M79" s="43">
        <f>J79+K79-L79</f>
        <v>1973920000</v>
      </c>
      <c r="N79" s="9">
        <v>0</v>
      </c>
      <c r="O79" s="43">
        <v>0</v>
      </c>
      <c r="P79" s="27">
        <f t="shared" ref="P79" si="41">+M79-O79-N79</f>
        <v>1973920000</v>
      </c>
      <c r="Q79" s="9">
        <v>0</v>
      </c>
      <c r="R79" s="25">
        <f t="shared" ref="R79" si="42">IF(Q79&gt;1,Q79/(M79-N79),0)</f>
        <v>0</v>
      </c>
      <c r="S79" s="9">
        <v>0</v>
      </c>
      <c r="T79" s="10">
        <v>0</v>
      </c>
    </row>
    <row r="80" spans="1:20" s="6" customFormat="1" ht="33" x14ac:dyDescent="0.25">
      <c r="A80" s="88" t="s">
        <v>3</v>
      </c>
      <c r="B80" s="7" t="s">
        <v>50</v>
      </c>
      <c r="C80" s="7" t="s">
        <v>50</v>
      </c>
      <c r="D80" s="7" t="s">
        <v>50</v>
      </c>
      <c r="E80" s="7" t="s">
        <v>45</v>
      </c>
      <c r="F80" s="62" t="s">
        <v>44</v>
      </c>
      <c r="G80" s="23" t="s">
        <v>128</v>
      </c>
      <c r="H80" s="7" t="s">
        <v>5</v>
      </c>
      <c r="I80" s="60" t="s">
        <v>6</v>
      </c>
      <c r="J80" s="43">
        <v>997000000</v>
      </c>
      <c r="K80" s="43">
        <f>136013392+15000000</f>
        <v>151013392</v>
      </c>
      <c r="L80" s="43">
        <f>2000000+92031909+3000000+80000000</f>
        <v>177031909</v>
      </c>
      <c r="M80" s="43">
        <f>J80+K80-L80</f>
        <v>970981483</v>
      </c>
      <c r="N80" s="9">
        <v>0</v>
      </c>
      <c r="O80" s="43">
        <v>576263059</v>
      </c>
      <c r="P80" s="27">
        <f t="shared" si="30"/>
        <v>394718424</v>
      </c>
      <c r="Q80" s="9">
        <v>330105059</v>
      </c>
      <c r="R80" s="25">
        <f t="shared" si="40"/>
        <v>0.33997049869590562</v>
      </c>
      <c r="S80" s="9">
        <v>143981483</v>
      </c>
      <c r="T80" s="10">
        <v>143981483</v>
      </c>
    </row>
    <row r="81" spans="1:259" s="6" customFormat="1" ht="24.75" x14ac:dyDescent="0.25">
      <c r="A81" s="88" t="s">
        <v>3</v>
      </c>
      <c r="B81" s="7" t="s">
        <v>50</v>
      </c>
      <c r="C81" s="7" t="s">
        <v>50</v>
      </c>
      <c r="D81" s="7" t="s">
        <v>50</v>
      </c>
      <c r="E81" s="7" t="s">
        <v>46</v>
      </c>
      <c r="F81" s="62" t="s">
        <v>39</v>
      </c>
      <c r="G81" s="23" t="s">
        <v>129</v>
      </c>
      <c r="H81" s="7" t="s">
        <v>5</v>
      </c>
      <c r="I81" s="8" t="s">
        <v>6</v>
      </c>
      <c r="J81" s="43">
        <v>482000000</v>
      </c>
      <c r="K81" s="43">
        <f>11350590+29000000+47449910</f>
        <v>87800500</v>
      </c>
      <c r="L81" s="43">
        <v>0</v>
      </c>
      <c r="M81" s="43">
        <f>J81+K81-L81</f>
        <v>569800500</v>
      </c>
      <c r="N81" s="9">
        <f>M81-[1]REP_EPG034_EjecucionPresupuesta!$T$73</f>
        <v>0</v>
      </c>
      <c r="O81" s="43">
        <v>190000000</v>
      </c>
      <c r="P81" s="27">
        <f t="shared" si="30"/>
        <v>379800500</v>
      </c>
      <c r="Q81" s="9">
        <v>0</v>
      </c>
      <c r="R81" s="25">
        <f t="shared" si="40"/>
        <v>0</v>
      </c>
      <c r="S81" s="9">
        <v>0</v>
      </c>
      <c r="T81" s="10">
        <v>0</v>
      </c>
    </row>
    <row r="82" spans="1:259" s="6" customFormat="1" ht="41.25" x14ac:dyDescent="0.25">
      <c r="A82" s="88" t="s">
        <v>3</v>
      </c>
      <c r="B82" s="7" t="s">
        <v>50</v>
      </c>
      <c r="C82" s="7" t="s">
        <v>50</v>
      </c>
      <c r="D82" s="7" t="s">
        <v>50</v>
      </c>
      <c r="E82" s="7" t="s">
        <v>46</v>
      </c>
      <c r="F82" s="62" t="s">
        <v>40</v>
      </c>
      <c r="G82" s="23" t="s">
        <v>130</v>
      </c>
      <c r="H82" s="7" t="s">
        <v>5</v>
      </c>
      <c r="I82" s="8" t="s">
        <v>6</v>
      </c>
      <c r="J82" s="43">
        <v>863000000</v>
      </c>
      <c r="K82" s="43">
        <f>69691050+22000000+800000+5500000</f>
        <v>97991050</v>
      </c>
      <c r="L82" s="43">
        <v>915932</v>
      </c>
      <c r="M82" s="43">
        <f t="shared" si="34"/>
        <v>960075118</v>
      </c>
      <c r="N82" s="9">
        <v>0</v>
      </c>
      <c r="O82" s="43">
        <v>555075296.99000001</v>
      </c>
      <c r="P82" s="27">
        <f t="shared" si="30"/>
        <v>404999821.00999999</v>
      </c>
      <c r="Q82" s="9">
        <v>393753381.99000001</v>
      </c>
      <c r="R82" s="25">
        <f t="shared" si="40"/>
        <v>0.41012768126962335</v>
      </c>
      <c r="S82" s="9">
        <v>250612769.66</v>
      </c>
      <c r="T82" s="10">
        <v>239764861.06</v>
      </c>
    </row>
    <row r="83" spans="1:259" s="6" customFormat="1" ht="16.5" x14ac:dyDescent="0.25">
      <c r="A83" s="88" t="s">
        <v>3</v>
      </c>
      <c r="B83" s="7" t="s">
        <v>50</v>
      </c>
      <c r="C83" s="7" t="s">
        <v>50</v>
      </c>
      <c r="D83" s="7" t="s">
        <v>50</v>
      </c>
      <c r="E83" s="7" t="s">
        <v>46</v>
      </c>
      <c r="F83" s="62" t="s">
        <v>43</v>
      </c>
      <c r="G83" s="23" t="s">
        <v>137</v>
      </c>
      <c r="H83" s="7" t="s">
        <v>5</v>
      </c>
      <c r="I83" s="8" t="s">
        <v>6</v>
      </c>
      <c r="J83" s="43">
        <v>781000000</v>
      </c>
      <c r="K83" s="43">
        <f>4000000+20000000</f>
        <v>24000000</v>
      </c>
      <c r="L83" s="43"/>
      <c r="M83" s="43">
        <f>J83+K83-L83</f>
        <v>805000000</v>
      </c>
      <c r="N83" s="9">
        <v>0</v>
      </c>
      <c r="O83" s="43">
        <v>693000000</v>
      </c>
      <c r="P83" s="27">
        <f t="shared" si="30"/>
        <v>112000000</v>
      </c>
      <c r="Q83" s="9">
        <v>517000000</v>
      </c>
      <c r="R83" s="25">
        <f t="shared" si="40"/>
        <v>0.64223602484472053</v>
      </c>
      <c r="S83" s="9">
        <v>0</v>
      </c>
      <c r="T83" s="10">
        <v>0</v>
      </c>
      <c r="BD83" s="6">
        <v>408287880</v>
      </c>
      <c r="BE83" s="6">
        <v>408287880</v>
      </c>
      <c r="BF83" s="6">
        <v>408287880</v>
      </c>
      <c r="BG83" s="6">
        <v>408287880</v>
      </c>
      <c r="BH83" s="6">
        <v>408287880</v>
      </c>
      <c r="BI83" s="6">
        <v>408287880</v>
      </c>
      <c r="BJ83" s="6">
        <v>408287880</v>
      </c>
      <c r="BK83" s="6">
        <v>408287880</v>
      </c>
      <c r="BL83" s="6">
        <v>408287880</v>
      </c>
      <c r="BM83" s="6">
        <v>408287880</v>
      </c>
      <c r="BN83" s="6">
        <v>408287880</v>
      </c>
      <c r="BO83" s="6">
        <v>408287880</v>
      </c>
      <c r="BP83" s="6">
        <v>408287880</v>
      </c>
      <c r="BQ83" s="6">
        <v>408287880</v>
      </c>
      <c r="BR83" s="6">
        <v>408287880</v>
      </c>
      <c r="BS83" s="6">
        <v>408287880</v>
      </c>
      <c r="BT83" s="6">
        <v>408287880</v>
      </c>
      <c r="BU83" s="6">
        <v>408287880</v>
      </c>
      <c r="BV83" s="6">
        <v>408287880</v>
      </c>
      <c r="BW83" s="6">
        <v>408287880</v>
      </c>
      <c r="BX83" s="6">
        <v>408287880</v>
      </c>
      <c r="BY83" s="6">
        <v>408287880</v>
      </c>
      <c r="BZ83" s="6">
        <v>408287880</v>
      </c>
      <c r="CA83" s="6">
        <v>408287880</v>
      </c>
      <c r="CB83" s="6">
        <v>408287880</v>
      </c>
      <c r="CC83" s="6">
        <v>408287880</v>
      </c>
      <c r="CD83" s="6">
        <v>408287880</v>
      </c>
      <c r="CE83" s="6">
        <v>408287880</v>
      </c>
      <c r="CF83" s="6">
        <v>408287880</v>
      </c>
      <c r="CG83" s="6">
        <v>408287880</v>
      </c>
      <c r="CH83" s="6">
        <v>408287880</v>
      </c>
      <c r="CI83" s="6">
        <v>408287880</v>
      </c>
      <c r="CJ83" s="6">
        <v>408287880</v>
      </c>
      <c r="CK83" s="6">
        <v>408287880</v>
      </c>
      <c r="CL83" s="6">
        <v>408287880</v>
      </c>
      <c r="CM83" s="6">
        <v>408287880</v>
      </c>
      <c r="CN83" s="6">
        <v>408287880</v>
      </c>
      <c r="CO83" s="6">
        <v>408287880</v>
      </c>
      <c r="CP83" s="6">
        <v>408287880</v>
      </c>
      <c r="CQ83" s="6">
        <v>408287880</v>
      </c>
      <c r="CR83" s="6">
        <v>408287880</v>
      </c>
      <c r="CS83" s="6">
        <v>408287880</v>
      </c>
      <c r="CT83" s="6">
        <v>408287880</v>
      </c>
      <c r="CU83" s="6">
        <v>408287880</v>
      </c>
      <c r="CV83" s="6">
        <v>408287880</v>
      </c>
      <c r="CW83" s="6">
        <v>408287880</v>
      </c>
      <c r="CX83" s="6">
        <v>408287880</v>
      </c>
      <c r="CY83" s="6">
        <v>408287880</v>
      </c>
      <c r="CZ83" s="6">
        <v>408287880</v>
      </c>
      <c r="DA83" s="6">
        <v>408287880</v>
      </c>
      <c r="DB83" s="6">
        <v>408287880</v>
      </c>
      <c r="DC83" s="6">
        <v>408287880</v>
      </c>
      <c r="DD83" s="6">
        <v>408287880</v>
      </c>
      <c r="DE83" s="6">
        <v>408287880</v>
      </c>
      <c r="DF83" s="6">
        <v>408287880</v>
      </c>
      <c r="DG83" s="6">
        <v>408287880</v>
      </c>
      <c r="DH83" s="6">
        <v>408287880</v>
      </c>
      <c r="DI83" s="6">
        <v>408287880</v>
      </c>
      <c r="DJ83" s="6">
        <v>408287880</v>
      </c>
      <c r="DK83" s="6">
        <v>408287880</v>
      </c>
      <c r="DL83" s="6">
        <v>408287880</v>
      </c>
      <c r="DM83" s="6">
        <v>408287880</v>
      </c>
      <c r="DN83" s="6">
        <v>408287880</v>
      </c>
      <c r="DO83" s="6">
        <v>408287880</v>
      </c>
      <c r="DP83" s="6">
        <v>408287880</v>
      </c>
      <c r="DQ83" s="6">
        <v>408287880</v>
      </c>
      <c r="DR83" s="6">
        <v>408287880</v>
      </c>
      <c r="DS83" s="6">
        <v>408287880</v>
      </c>
      <c r="DT83" s="6">
        <v>408287880</v>
      </c>
      <c r="DU83" s="6">
        <v>408287880</v>
      </c>
      <c r="DV83" s="6">
        <v>408287880</v>
      </c>
      <c r="DW83" s="6">
        <v>408287880</v>
      </c>
      <c r="DX83" s="6">
        <v>408287880</v>
      </c>
      <c r="DY83" s="6">
        <v>408287880</v>
      </c>
      <c r="DZ83" s="6">
        <v>408287880</v>
      </c>
      <c r="EA83" s="6">
        <v>408287880</v>
      </c>
      <c r="EB83" s="6">
        <v>408287880</v>
      </c>
      <c r="EC83" s="6">
        <v>408287880</v>
      </c>
      <c r="ED83" s="6">
        <v>408287880</v>
      </c>
      <c r="EE83" s="6">
        <v>408287880</v>
      </c>
      <c r="EF83" s="6">
        <v>408287880</v>
      </c>
      <c r="EG83" s="6">
        <v>408287880</v>
      </c>
      <c r="EH83" s="6">
        <v>408287880</v>
      </c>
      <c r="EI83" s="6">
        <v>408287880</v>
      </c>
      <c r="EJ83" s="6">
        <v>408287880</v>
      </c>
      <c r="EK83" s="6">
        <v>408287880</v>
      </c>
      <c r="EL83" s="6">
        <v>408287880</v>
      </c>
      <c r="EM83" s="6">
        <v>408287880</v>
      </c>
      <c r="EN83" s="6">
        <v>408287880</v>
      </c>
      <c r="EO83" s="6">
        <v>408287880</v>
      </c>
      <c r="EP83" s="6">
        <v>408287880</v>
      </c>
      <c r="EQ83" s="6">
        <v>408287880</v>
      </c>
      <c r="ER83" s="6">
        <v>408287880</v>
      </c>
      <c r="ES83" s="6">
        <v>408287880</v>
      </c>
      <c r="ET83" s="6">
        <v>408287880</v>
      </c>
      <c r="EU83" s="6">
        <v>408287880</v>
      </c>
      <c r="EV83" s="6">
        <v>408287880</v>
      </c>
      <c r="EW83" s="6">
        <v>408287880</v>
      </c>
      <c r="EX83" s="6">
        <v>408287880</v>
      </c>
      <c r="EY83" s="6">
        <v>408287880</v>
      </c>
      <c r="EZ83" s="6">
        <v>408287880</v>
      </c>
      <c r="FA83" s="6">
        <v>408287880</v>
      </c>
      <c r="FB83" s="6">
        <v>408287880</v>
      </c>
      <c r="FC83" s="6">
        <v>408287880</v>
      </c>
      <c r="FD83" s="6">
        <v>408287880</v>
      </c>
      <c r="FE83" s="6">
        <v>408287880</v>
      </c>
      <c r="FF83" s="6">
        <v>408287880</v>
      </c>
      <c r="FG83" s="6">
        <v>408287880</v>
      </c>
      <c r="FH83" s="6">
        <v>408287880</v>
      </c>
      <c r="FI83" s="6">
        <v>408287880</v>
      </c>
      <c r="FJ83" s="6">
        <v>408287880</v>
      </c>
      <c r="FK83" s="6">
        <v>408287880</v>
      </c>
      <c r="FL83" s="6">
        <v>408287880</v>
      </c>
      <c r="FM83" s="6">
        <v>408287880</v>
      </c>
      <c r="FN83" s="6">
        <v>408287880</v>
      </c>
      <c r="FO83" s="6">
        <v>408287880</v>
      </c>
      <c r="FP83" s="6">
        <v>408287880</v>
      </c>
      <c r="FQ83" s="6">
        <v>408287880</v>
      </c>
      <c r="FR83" s="6">
        <v>408287880</v>
      </c>
      <c r="FS83" s="6">
        <v>408287880</v>
      </c>
      <c r="FT83" s="6">
        <v>408287880</v>
      </c>
      <c r="FU83" s="6">
        <v>408287880</v>
      </c>
      <c r="FV83" s="6">
        <v>408287880</v>
      </c>
      <c r="FW83" s="6">
        <v>408287880</v>
      </c>
      <c r="FX83" s="6">
        <v>408287880</v>
      </c>
      <c r="FY83" s="6">
        <v>408287880</v>
      </c>
      <c r="FZ83" s="6">
        <v>408287880</v>
      </c>
      <c r="GA83" s="6">
        <v>408287880</v>
      </c>
      <c r="GB83" s="6">
        <v>408287880</v>
      </c>
      <c r="GC83" s="6">
        <v>408287880</v>
      </c>
      <c r="GD83" s="6">
        <v>408287880</v>
      </c>
      <c r="GE83" s="6">
        <v>408287880</v>
      </c>
      <c r="GF83" s="6">
        <v>408287880</v>
      </c>
      <c r="GG83" s="6">
        <v>408287880</v>
      </c>
      <c r="GH83" s="6">
        <v>408287880</v>
      </c>
      <c r="GI83" s="6">
        <v>408287880</v>
      </c>
      <c r="GJ83" s="6">
        <v>408287880</v>
      </c>
      <c r="GK83" s="6">
        <v>408287880</v>
      </c>
      <c r="GL83" s="6">
        <v>408287880</v>
      </c>
      <c r="GM83" s="6">
        <v>408287880</v>
      </c>
      <c r="GN83" s="6">
        <v>408287880</v>
      </c>
      <c r="GO83" s="6">
        <v>408287880</v>
      </c>
      <c r="GP83" s="6">
        <v>408287880</v>
      </c>
      <c r="GQ83" s="6">
        <v>408287880</v>
      </c>
      <c r="GR83" s="6">
        <v>408287880</v>
      </c>
      <c r="GS83" s="6">
        <v>408287880</v>
      </c>
      <c r="GT83" s="6">
        <v>408287880</v>
      </c>
      <c r="GU83" s="6">
        <v>408287880</v>
      </c>
      <c r="GV83" s="6">
        <v>408287880</v>
      </c>
      <c r="GW83" s="6">
        <v>408287880</v>
      </c>
      <c r="GX83" s="6">
        <v>408287880</v>
      </c>
      <c r="GY83" s="6">
        <v>408287880</v>
      </c>
      <c r="GZ83" s="6">
        <v>408287880</v>
      </c>
      <c r="HA83" s="6">
        <v>408287880</v>
      </c>
      <c r="HB83" s="6">
        <v>408287880</v>
      </c>
      <c r="HC83" s="6">
        <v>408287880</v>
      </c>
      <c r="HD83" s="6">
        <v>408287880</v>
      </c>
      <c r="HE83" s="6">
        <v>408287880</v>
      </c>
      <c r="HF83" s="6">
        <v>408287880</v>
      </c>
      <c r="HG83" s="6">
        <v>408287880</v>
      </c>
      <c r="HH83" s="6">
        <v>408287880</v>
      </c>
      <c r="HI83" s="6">
        <v>408287880</v>
      </c>
      <c r="HJ83" s="6">
        <v>408287880</v>
      </c>
      <c r="HK83" s="6">
        <v>408287880</v>
      </c>
      <c r="HL83" s="6">
        <v>408287880</v>
      </c>
      <c r="HM83" s="6">
        <v>408287880</v>
      </c>
      <c r="HN83" s="6">
        <v>408287880</v>
      </c>
      <c r="HO83" s="6">
        <v>408287880</v>
      </c>
      <c r="HP83" s="6">
        <v>408287880</v>
      </c>
      <c r="HQ83" s="6">
        <v>408287880</v>
      </c>
      <c r="HR83" s="6">
        <v>408287880</v>
      </c>
      <c r="HS83" s="6">
        <v>408287880</v>
      </c>
      <c r="HT83" s="6">
        <v>408287880</v>
      </c>
      <c r="HU83" s="6">
        <v>408287880</v>
      </c>
      <c r="HV83" s="6">
        <v>408287880</v>
      </c>
      <c r="HW83" s="6">
        <v>408287880</v>
      </c>
      <c r="HX83" s="6">
        <v>408287880</v>
      </c>
      <c r="HY83" s="6">
        <v>408287880</v>
      </c>
      <c r="HZ83" s="6">
        <v>408287880</v>
      </c>
      <c r="IA83" s="6">
        <v>408287880</v>
      </c>
      <c r="IB83" s="6">
        <v>408287880</v>
      </c>
      <c r="IC83" s="6">
        <v>408287880</v>
      </c>
      <c r="ID83" s="6">
        <v>408287880</v>
      </c>
      <c r="IE83" s="6">
        <v>408287880</v>
      </c>
      <c r="IF83" s="6">
        <v>408287880</v>
      </c>
      <c r="IG83" s="6">
        <v>408287880</v>
      </c>
      <c r="IH83" s="6">
        <v>408287880</v>
      </c>
      <c r="II83" s="6">
        <v>408287880</v>
      </c>
      <c r="IJ83" s="6">
        <v>408287880</v>
      </c>
      <c r="IK83" s="6">
        <v>408287880</v>
      </c>
      <c r="IL83" s="6">
        <v>408287880</v>
      </c>
      <c r="IM83" s="6">
        <v>408287880</v>
      </c>
      <c r="IN83" s="6">
        <v>408287880</v>
      </c>
      <c r="IO83" s="6">
        <v>408287880</v>
      </c>
      <c r="IP83" s="6">
        <v>408287880</v>
      </c>
      <c r="IQ83" s="6">
        <v>408287880</v>
      </c>
      <c r="IR83" s="6">
        <v>408287880</v>
      </c>
      <c r="IS83" s="6">
        <v>408287880</v>
      </c>
      <c r="IT83" s="6">
        <v>408287880</v>
      </c>
      <c r="IU83" s="6">
        <v>408287880</v>
      </c>
      <c r="IV83" s="6">
        <v>408287880</v>
      </c>
      <c r="IW83" s="6">
        <v>408287880</v>
      </c>
      <c r="IX83" s="6">
        <v>408287880</v>
      </c>
      <c r="IY83" s="6">
        <v>408287880</v>
      </c>
    </row>
    <row r="84" spans="1:259" s="6" customFormat="1" ht="16.5" x14ac:dyDescent="0.25">
      <c r="A84" s="88" t="s">
        <v>3</v>
      </c>
      <c r="B84" s="7" t="s">
        <v>50</v>
      </c>
      <c r="C84" s="7" t="s">
        <v>50</v>
      </c>
      <c r="D84" s="7" t="s">
        <v>50</v>
      </c>
      <c r="E84" s="7" t="s">
        <v>47</v>
      </c>
      <c r="F84" s="62"/>
      <c r="G84" s="23" t="s">
        <v>73</v>
      </c>
      <c r="H84" s="7" t="s">
        <v>5</v>
      </c>
      <c r="I84" s="8" t="s">
        <v>6</v>
      </c>
      <c r="J84" s="43">
        <v>1926000000</v>
      </c>
      <c r="K84" s="43"/>
      <c r="L84" s="43"/>
      <c r="M84" s="43">
        <f t="shared" si="34"/>
        <v>1926000000</v>
      </c>
      <c r="N84" s="9">
        <v>0</v>
      </c>
      <c r="O84" s="43">
        <v>1926000000</v>
      </c>
      <c r="P84" s="27">
        <f t="shared" si="30"/>
        <v>0</v>
      </c>
      <c r="Q84" s="9">
        <v>935044854.70000005</v>
      </c>
      <c r="R84" s="25">
        <f t="shared" si="40"/>
        <v>0.48548538665628249</v>
      </c>
      <c r="S84" s="9">
        <v>872921513.70000005</v>
      </c>
      <c r="T84" s="10">
        <v>833293580.70000005</v>
      </c>
    </row>
    <row r="85" spans="1:259" ht="16.5" customHeight="1" x14ac:dyDescent="0.25">
      <c r="A85" s="89" t="s">
        <v>3</v>
      </c>
      <c r="B85" s="78" t="s">
        <v>50</v>
      </c>
      <c r="C85" s="78"/>
      <c r="D85" s="78"/>
      <c r="E85" s="78"/>
      <c r="F85" s="78"/>
      <c r="G85" s="78" t="s">
        <v>78</v>
      </c>
      <c r="H85" s="78" t="s">
        <v>5</v>
      </c>
      <c r="I85" s="78" t="s">
        <v>6</v>
      </c>
      <c r="J85" s="61">
        <f t="shared" ref="J85:Q85" si="43">J45+J36</f>
        <v>54584571847</v>
      </c>
      <c r="K85" s="61">
        <f t="shared" si="43"/>
        <v>2062076009</v>
      </c>
      <c r="L85" s="61">
        <f t="shared" si="43"/>
        <v>2062076009</v>
      </c>
      <c r="M85" s="61">
        <f t="shared" si="43"/>
        <v>54584571847</v>
      </c>
      <c r="N85" s="61">
        <f t="shared" si="43"/>
        <v>0</v>
      </c>
      <c r="O85" s="61">
        <f t="shared" si="43"/>
        <v>35480149542.940002</v>
      </c>
      <c r="P85" s="61">
        <f t="shared" si="43"/>
        <v>19104422304.059998</v>
      </c>
      <c r="Q85" s="61">
        <f t="shared" si="43"/>
        <v>28964856892.640003</v>
      </c>
      <c r="R85" s="73">
        <f t="shared" si="40"/>
        <v>0.5306418262989806</v>
      </c>
      <c r="S85" s="61">
        <f>S45+S36</f>
        <v>16507842427.639999</v>
      </c>
      <c r="T85" s="70">
        <f>T45+T36</f>
        <v>16334757078.539999</v>
      </c>
      <c r="U85" s="32"/>
    </row>
    <row r="86" spans="1:259" ht="16.5" customHeight="1" x14ac:dyDescent="0.25">
      <c r="A86" s="89" t="s">
        <v>3</v>
      </c>
      <c r="B86" s="78" t="s">
        <v>50</v>
      </c>
      <c r="C86" s="78"/>
      <c r="D86" s="78"/>
      <c r="E86" s="78"/>
      <c r="F86" s="78"/>
      <c r="G86" s="78" t="s">
        <v>78</v>
      </c>
      <c r="H86" s="78" t="s">
        <v>8</v>
      </c>
      <c r="I86" s="78">
        <v>20</v>
      </c>
      <c r="J86" s="61">
        <f t="shared" ref="J86:Q86" si="44">J46</f>
        <v>2873920000</v>
      </c>
      <c r="K86" s="61">
        <f t="shared" si="44"/>
        <v>0</v>
      </c>
      <c r="L86" s="61">
        <f t="shared" si="44"/>
        <v>0</v>
      </c>
      <c r="M86" s="61">
        <f t="shared" si="44"/>
        <v>2873920000</v>
      </c>
      <c r="N86" s="61">
        <f t="shared" si="44"/>
        <v>0</v>
      </c>
      <c r="O86" s="61">
        <f t="shared" si="44"/>
        <v>0</v>
      </c>
      <c r="P86" s="61">
        <f t="shared" si="44"/>
        <v>2873920000</v>
      </c>
      <c r="Q86" s="61">
        <f t="shared" si="44"/>
        <v>0</v>
      </c>
      <c r="R86" s="73">
        <f t="shared" si="40"/>
        <v>0</v>
      </c>
      <c r="S86" s="61">
        <f>S46</f>
        <v>0</v>
      </c>
      <c r="T86" s="70">
        <f>T46</f>
        <v>0</v>
      </c>
      <c r="U86" s="32"/>
    </row>
    <row r="87" spans="1:259" ht="15.75" customHeight="1" thickBot="1" x14ac:dyDescent="0.3">
      <c r="A87" s="130" t="s">
        <v>81</v>
      </c>
      <c r="B87" s="131"/>
      <c r="C87" s="131"/>
      <c r="D87" s="131"/>
      <c r="E87" s="131"/>
      <c r="F87" s="131"/>
      <c r="G87" s="131"/>
      <c r="H87" s="131"/>
      <c r="I87" s="132"/>
      <c r="J87" s="74">
        <f t="shared" ref="J87:Q87" si="45">SUM(J85:J86)</f>
        <v>57458491847</v>
      </c>
      <c r="K87" s="74">
        <f t="shared" si="45"/>
        <v>2062076009</v>
      </c>
      <c r="L87" s="74">
        <f t="shared" si="45"/>
        <v>2062076009</v>
      </c>
      <c r="M87" s="74">
        <f t="shared" si="45"/>
        <v>57458491847</v>
      </c>
      <c r="N87" s="74">
        <f t="shared" ref="N87" si="46">SUM(N85:N86)</f>
        <v>0</v>
      </c>
      <c r="O87" s="74">
        <f t="shared" si="45"/>
        <v>35480149542.940002</v>
      </c>
      <c r="P87" s="74">
        <f t="shared" si="45"/>
        <v>21978342304.059998</v>
      </c>
      <c r="Q87" s="74">
        <f t="shared" si="45"/>
        <v>28964856892.640003</v>
      </c>
      <c r="R87" s="73">
        <f t="shared" si="40"/>
        <v>0.50410054217516509</v>
      </c>
      <c r="S87" s="74">
        <f>SUM(S85:S86)</f>
        <v>16507842427.639999</v>
      </c>
      <c r="T87" s="75">
        <f>SUM(T85:T86)</f>
        <v>16334757078.539999</v>
      </c>
    </row>
    <row r="88" spans="1:259" ht="15.75" customHeight="1" thickBot="1" x14ac:dyDescent="0.3">
      <c r="A88" s="124" t="s">
        <v>85</v>
      </c>
      <c r="B88" s="125"/>
      <c r="C88" s="125"/>
      <c r="D88" s="125"/>
      <c r="E88" s="125"/>
      <c r="F88" s="125"/>
      <c r="G88" s="125"/>
      <c r="H88" s="125"/>
      <c r="I88" s="125"/>
      <c r="J88" s="125"/>
      <c r="K88" s="125"/>
      <c r="L88" s="125"/>
      <c r="M88" s="125"/>
      <c r="N88" s="125"/>
      <c r="O88" s="125"/>
      <c r="P88" s="125"/>
      <c r="Q88" s="125"/>
      <c r="R88" s="125"/>
      <c r="S88" s="125"/>
      <c r="T88" s="126"/>
    </row>
    <row r="89" spans="1:259" s="45" customFormat="1" ht="24.75" customHeight="1" x14ac:dyDescent="0.25">
      <c r="A89" s="87" t="s">
        <v>3</v>
      </c>
      <c r="B89" s="11" t="s">
        <v>51</v>
      </c>
      <c r="C89" s="11" t="s">
        <v>51</v>
      </c>
      <c r="D89" s="11"/>
      <c r="E89" s="11"/>
      <c r="F89" s="11"/>
      <c r="G89" s="12" t="s">
        <v>221</v>
      </c>
      <c r="H89" s="11" t="s">
        <v>5</v>
      </c>
      <c r="I89" s="13">
        <v>10</v>
      </c>
      <c r="J89" s="14">
        <f>J90</f>
        <v>1700000000</v>
      </c>
      <c r="K89" s="14">
        <f t="shared" ref="K89:L89" si="47">K90</f>
        <v>0</v>
      </c>
      <c r="L89" s="24">
        <f t="shared" si="47"/>
        <v>0</v>
      </c>
      <c r="M89" s="24">
        <f t="shared" ref="M89:P90" si="48">M90</f>
        <v>1700000000</v>
      </c>
      <c r="N89" s="14">
        <f>N90</f>
        <v>0</v>
      </c>
      <c r="O89" s="14">
        <f t="shared" si="48"/>
        <v>1700000000</v>
      </c>
      <c r="P89" s="24">
        <f t="shared" si="48"/>
        <v>0</v>
      </c>
      <c r="Q89" s="14">
        <f t="shared" ref="Q89" si="49">Q90</f>
        <v>1694128860</v>
      </c>
      <c r="R89" s="47">
        <f t="shared" ref="R89:R96" si="50">IF(Q89&gt;1,Q89/(M89-N89),0)</f>
        <v>0.99654638823529407</v>
      </c>
      <c r="S89" s="14">
        <f>S90</f>
        <v>0</v>
      </c>
      <c r="T89" s="22">
        <f>T90</f>
        <v>0</v>
      </c>
    </row>
    <row r="90" spans="1:259" s="45" customFormat="1" ht="24.75" customHeight="1" x14ac:dyDescent="0.25">
      <c r="A90" s="87" t="s">
        <v>3</v>
      </c>
      <c r="B90" s="11" t="s">
        <v>51</v>
      </c>
      <c r="C90" s="11" t="s">
        <v>51</v>
      </c>
      <c r="D90" s="11" t="s">
        <v>34</v>
      </c>
      <c r="E90" s="11"/>
      <c r="F90" s="11"/>
      <c r="G90" s="12" t="s">
        <v>87</v>
      </c>
      <c r="H90" s="11" t="s">
        <v>5</v>
      </c>
      <c r="I90" s="13">
        <v>10</v>
      </c>
      <c r="J90" s="14">
        <f>J91</f>
        <v>1700000000</v>
      </c>
      <c r="K90" s="14">
        <f>K91</f>
        <v>0</v>
      </c>
      <c r="L90" s="24">
        <f>L91</f>
        <v>0</v>
      </c>
      <c r="M90" s="24">
        <f t="shared" si="48"/>
        <v>1700000000</v>
      </c>
      <c r="N90" s="14">
        <f t="shared" si="48"/>
        <v>0</v>
      </c>
      <c r="O90" s="14">
        <f t="shared" si="48"/>
        <v>1700000000</v>
      </c>
      <c r="P90" s="24">
        <f t="shared" si="48"/>
        <v>0</v>
      </c>
      <c r="Q90" s="14">
        <f>Q91</f>
        <v>1694128860</v>
      </c>
      <c r="R90" s="47">
        <f t="shared" si="50"/>
        <v>0.99654638823529407</v>
      </c>
      <c r="S90" s="14">
        <f>S91</f>
        <v>0</v>
      </c>
      <c r="T90" s="22">
        <f>T91</f>
        <v>0</v>
      </c>
    </row>
    <row r="91" spans="1:259" s="45" customFormat="1" ht="24.75" customHeight="1" x14ac:dyDescent="0.25">
      <c r="A91" s="88" t="s">
        <v>3</v>
      </c>
      <c r="B91" s="7" t="s">
        <v>51</v>
      </c>
      <c r="C91" s="7" t="s">
        <v>51</v>
      </c>
      <c r="D91" s="7" t="s">
        <v>34</v>
      </c>
      <c r="E91" s="62" t="s">
        <v>220</v>
      </c>
      <c r="F91" s="7"/>
      <c r="G91" s="23" t="s">
        <v>219</v>
      </c>
      <c r="H91" s="7" t="s">
        <v>5</v>
      </c>
      <c r="I91" s="8">
        <v>10</v>
      </c>
      <c r="J91" s="27">
        <v>1700000000</v>
      </c>
      <c r="K91" s="27">
        <v>0</v>
      </c>
      <c r="L91" s="27"/>
      <c r="M91" s="27">
        <f t="shared" ref="M91:M96" si="51">J91+K91-L91</f>
        <v>1700000000</v>
      </c>
      <c r="N91" s="27">
        <v>0</v>
      </c>
      <c r="O91" s="9">
        <v>1700000000</v>
      </c>
      <c r="P91" s="27">
        <f>+M91-O91-N91</f>
        <v>0</v>
      </c>
      <c r="Q91" s="9">
        <v>1694128860</v>
      </c>
      <c r="R91" s="47">
        <f>IF(Q91&gt;1,Q91/(M91-N91),0)</f>
        <v>0.99654638823529407</v>
      </c>
      <c r="S91" s="9">
        <v>0</v>
      </c>
      <c r="T91" s="10">
        <v>0</v>
      </c>
    </row>
    <row r="92" spans="1:259" s="45" customFormat="1" ht="24.75" customHeight="1" x14ac:dyDescent="0.25">
      <c r="A92" s="87" t="s">
        <v>3</v>
      </c>
      <c r="B92" s="11" t="s">
        <v>51</v>
      </c>
      <c r="C92" s="11" t="s">
        <v>70</v>
      </c>
      <c r="D92" s="11"/>
      <c r="E92" s="11"/>
      <c r="F92" s="11"/>
      <c r="G92" s="12" t="s">
        <v>133</v>
      </c>
      <c r="H92" s="11" t="s">
        <v>5</v>
      </c>
      <c r="I92" s="13">
        <v>10</v>
      </c>
      <c r="J92" s="14">
        <f>J93</f>
        <v>1416000000</v>
      </c>
      <c r="K92" s="24">
        <f t="shared" ref="K92:L93" si="52">K93</f>
        <v>0</v>
      </c>
      <c r="L92" s="24">
        <f t="shared" si="52"/>
        <v>0</v>
      </c>
      <c r="M92" s="24">
        <f>J92+K92-L92</f>
        <v>1416000000</v>
      </c>
      <c r="N92" s="14">
        <v>0</v>
      </c>
      <c r="O92" s="14">
        <f t="shared" ref="O92:Q93" si="53">O93</f>
        <v>1065521494</v>
      </c>
      <c r="P92" s="24">
        <f>P93</f>
        <v>350478506</v>
      </c>
      <c r="Q92" s="14">
        <f t="shared" si="53"/>
        <v>1065521494</v>
      </c>
      <c r="R92" s="47">
        <f>IF(Q92&gt;1,Q92/(M92-N92),0)</f>
        <v>0.75248693079096041</v>
      </c>
      <c r="S92" s="14">
        <f>S93</f>
        <v>1065521494</v>
      </c>
      <c r="T92" s="22">
        <f>T93</f>
        <v>1065521494</v>
      </c>
    </row>
    <row r="93" spans="1:259" s="45" customFormat="1" ht="24.75" customHeight="1" x14ac:dyDescent="0.25">
      <c r="A93" s="87" t="s">
        <v>3</v>
      </c>
      <c r="B93" s="11" t="s">
        <v>51</v>
      </c>
      <c r="C93" s="11" t="s">
        <v>70</v>
      </c>
      <c r="D93" s="11" t="s">
        <v>50</v>
      </c>
      <c r="E93" s="11"/>
      <c r="F93" s="11"/>
      <c r="G93" s="12" t="s">
        <v>102</v>
      </c>
      <c r="H93" s="11" t="s">
        <v>5</v>
      </c>
      <c r="I93" s="13">
        <v>10</v>
      </c>
      <c r="J93" s="24">
        <f>J94</f>
        <v>1416000000</v>
      </c>
      <c r="K93" s="24">
        <f t="shared" si="52"/>
        <v>0</v>
      </c>
      <c r="L93" s="24">
        <f t="shared" si="52"/>
        <v>0</v>
      </c>
      <c r="M93" s="24">
        <f>J93+K93-L93</f>
        <v>1416000000</v>
      </c>
      <c r="N93" s="24"/>
      <c r="O93" s="24">
        <f t="shared" si="53"/>
        <v>1065521494</v>
      </c>
      <c r="P93" s="24">
        <f t="shared" si="53"/>
        <v>350478506</v>
      </c>
      <c r="Q93" s="14">
        <f t="shared" si="53"/>
        <v>1065521494</v>
      </c>
      <c r="R93" s="47">
        <f t="shared" si="50"/>
        <v>0.75248693079096041</v>
      </c>
      <c r="S93" s="14">
        <f>S94</f>
        <v>1065521494</v>
      </c>
      <c r="T93" s="22">
        <f>T94</f>
        <v>1065521494</v>
      </c>
    </row>
    <row r="94" spans="1:259" s="6" customFormat="1" ht="24.75" customHeight="1" x14ac:dyDescent="0.25">
      <c r="A94" s="87" t="s">
        <v>3</v>
      </c>
      <c r="B94" s="11" t="s">
        <v>51</v>
      </c>
      <c r="C94" s="11" t="s">
        <v>70</v>
      </c>
      <c r="D94" s="11" t="s">
        <v>50</v>
      </c>
      <c r="E94" s="11" t="s">
        <v>71</v>
      </c>
      <c r="F94" s="11"/>
      <c r="G94" s="12" t="s">
        <v>211</v>
      </c>
      <c r="H94" s="11" t="s">
        <v>5</v>
      </c>
      <c r="I94" s="13">
        <v>10</v>
      </c>
      <c r="J94" s="24">
        <f>J95+J96</f>
        <v>1416000000</v>
      </c>
      <c r="K94" s="24">
        <f t="shared" ref="K94:L94" si="54">K95+K96</f>
        <v>0</v>
      </c>
      <c r="L94" s="24">
        <f t="shared" si="54"/>
        <v>0</v>
      </c>
      <c r="M94" s="24">
        <f>J94+K94-L94</f>
        <v>1416000000</v>
      </c>
      <c r="N94" s="24">
        <f>N95+N96</f>
        <v>0</v>
      </c>
      <c r="O94" s="24">
        <f>O95+O96</f>
        <v>1065521494</v>
      </c>
      <c r="P94" s="24">
        <f>P95+P96</f>
        <v>350478506</v>
      </c>
      <c r="Q94" s="24">
        <f>Q95+Q96</f>
        <v>1065521494</v>
      </c>
      <c r="R94" s="26">
        <f t="shared" si="50"/>
        <v>0.75248693079096041</v>
      </c>
      <c r="S94" s="14">
        <f>S95+S96</f>
        <v>1065521494</v>
      </c>
      <c r="T94" s="22">
        <f>T95+T96</f>
        <v>1065521494</v>
      </c>
    </row>
    <row r="95" spans="1:259" s="6" customFormat="1" ht="16.5" customHeight="1" x14ac:dyDescent="0.25">
      <c r="A95" s="88" t="s">
        <v>3</v>
      </c>
      <c r="B95" s="7" t="s">
        <v>51</v>
      </c>
      <c r="C95" s="7" t="s">
        <v>70</v>
      </c>
      <c r="D95" s="7" t="s">
        <v>50</v>
      </c>
      <c r="E95" s="7" t="s">
        <v>71</v>
      </c>
      <c r="F95" s="7" t="s">
        <v>35</v>
      </c>
      <c r="G95" s="23" t="s">
        <v>74</v>
      </c>
      <c r="H95" s="7" t="s">
        <v>5</v>
      </c>
      <c r="I95" s="7" t="s">
        <v>6</v>
      </c>
      <c r="J95" s="27">
        <v>946269000</v>
      </c>
      <c r="K95" s="27"/>
      <c r="L95" s="27"/>
      <c r="M95" s="27">
        <f t="shared" si="51"/>
        <v>946269000</v>
      </c>
      <c r="N95" s="9"/>
      <c r="O95" s="27">
        <v>751376957</v>
      </c>
      <c r="P95" s="27">
        <f>+M95-O95-N95</f>
        <v>194892043</v>
      </c>
      <c r="Q95" s="27">
        <v>751376957</v>
      </c>
      <c r="R95" s="25">
        <f t="shared" si="50"/>
        <v>0.79404160656219325</v>
      </c>
      <c r="S95" s="27">
        <v>751376957</v>
      </c>
      <c r="T95" s="48">
        <v>751376957</v>
      </c>
    </row>
    <row r="96" spans="1:259" s="45" customFormat="1" ht="16.5" customHeight="1" x14ac:dyDescent="0.25">
      <c r="A96" s="88" t="s">
        <v>3</v>
      </c>
      <c r="B96" s="7" t="s">
        <v>51</v>
      </c>
      <c r="C96" s="7" t="s">
        <v>70</v>
      </c>
      <c r="D96" s="7" t="s">
        <v>50</v>
      </c>
      <c r="E96" s="7" t="s">
        <v>71</v>
      </c>
      <c r="F96" s="7" t="s">
        <v>37</v>
      </c>
      <c r="G96" s="23" t="s">
        <v>75</v>
      </c>
      <c r="H96" s="7" t="s">
        <v>5</v>
      </c>
      <c r="I96" s="7" t="s">
        <v>6</v>
      </c>
      <c r="J96" s="27">
        <v>469731000</v>
      </c>
      <c r="K96" s="27"/>
      <c r="L96" s="27"/>
      <c r="M96" s="27">
        <f t="shared" si="51"/>
        <v>469731000</v>
      </c>
      <c r="N96" s="9">
        <v>0</v>
      </c>
      <c r="O96" s="27">
        <v>314144537</v>
      </c>
      <c r="P96" s="27">
        <f>+M96-O96-N96</f>
        <v>155586463</v>
      </c>
      <c r="Q96" s="27">
        <v>314144537</v>
      </c>
      <c r="R96" s="25">
        <f t="shared" si="50"/>
        <v>0.66877539911140627</v>
      </c>
      <c r="S96" s="27">
        <v>314144537</v>
      </c>
      <c r="T96" s="48">
        <v>314144537</v>
      </c>
    </row>
    <row r="97" spans="1:22" s="52" customFormat="1" ht="16.5" customHeight="1" x14ac:dyDescent="0.25">
      <c r="A97" s="89" t="s">
        <v>3</v>
      </c>
      <c r="B97" s="78" t="s">
        <v>51</v>
      </c>
      <c r="C97" s="78"/>
      <c r="D97" s="78"/>
      <c r="E97" s="78"/>
      <c r="F97" s="78"/>
      <c r="G97" s="79" t="s">
        <v>17</v>
      </c>
      <c r="H97" s="78" t="s">
        <v>5</v>
      </c>
      <c r="I97" s="80" t="s">
        <v>6</v>
      </c>
      <c r="J97" s="61">
        <f>+J92+J89</f>
        <v>3116000000</v>
      </c>
      <c r="K97" s="61">
        <f t="shared" ref="K97:Q97" si="55">+K92+K89</f>
        <v>0</v>
      </c>
      <c r="L97" s="61">
        <f t="shared" si="55"/>
        <v>0</v>
      </c>
      <c r="M97" s="61">
        <f t="shared" si="55"/>
        <v>3116000000</v>
      </c>
      <c r="N97" s="61">
        <f t="shared" si="55"/>
        <v>0</v>
      </c>
      <c r="O97" s="61">
        <f t="shared" si="55"/>
        <v>2765521494</v>
      </c>
      <c r="P97" s="61">
        <f t="shared" si="55"/>
        <v>350478506</v>
      </c>
      <c r="Q97" s="61">
        <f t="shared" si="55"/>
        <v>2759650354</v>
      </c>
      <c r="R97" s="73">
        <f>IF(Q97&gt;1,Q97/(M97-N97),0)</f>
        <v>0.88563875288831839</v>
      </c>
      <c r="S97" s="61">
        <f t="shared" ref="S97:T97" si="56">+S92+S89</f>
        <v>1065521494</v>
      </c>
      <c r="T97" s="70">
        <f t="shared" si="56"/>
        <v>1065521494</v>
      </c>
      <c r="U97" s="51"/>
      <c r="V97" s="51"/>
    </row>
    <row r="98" spans="1:22" s="6" customFormat="1" ht="16.5" customHeight="1" thickBot="1" x14ac:dyDescent="0.3">
      <c r="A98" s="130" t="s">
        <v>27</v>
      </c>
      <c r="B98" s="131"/>
      <c r="C98" s="131"/>
      <c r="D98" s="131"/>
      <c r="E98" s="131"/>
      <c r="F98" s="131"/>
      <c r="G98" s="131"/>
      <c r="H98" s="131"/>
      <c r="I98" s="132"/>
      <c r="J98" s="74">
        <f>J97</f>
        <v>3116000000</v>
      </c>
      <c r="K98" s="74">
        <f t="shared" ref="K98:L98" si="57">K97</f>
        <v>0</v>
      </c>
      <c r="L98" s="74">
        <f t="shared" si="57"/>
        <v>0</v>
      </c>
      <c r="M98" s="74">
        <f>M97</f>
        <v>3116000000</v>
      </c>
      <c r="N98" s="74">
        <f>N97</f>
        <v>0</v>
      </c>
      <c r="O98" s="74">
        <f>O97</f>
        <v>2765521494</v>
      </c>
      <c r="P98" s="74">
        <f>P97</f>
        <v>350478506</v>
      </c>
      <c r="Q98" s="74">
        <f>Q97</f>
        <v>2759650354</v>
      </c>
      <c r="R98" s="73">
        <f>IF(Q98&gt;1,Q98/(M98-N98),0)</f>
        <v>0.88563875288831839</v>
      </c>
      <c r="S98" s="74">
        <f>S97</f>
        <v>1065521494</v>
      </c>
      <c r="T98" s="75">
        <f>T97</f>
        <v>1065521494</v>
      </c>
    </row>
    <row r="99" spans="1:22" s="45" customFormat="1" ht="16.5" customHeight="1" thickBot="1" x14ac:dyDescent="0.3">
      <c r="A99" s="124" t="s">
        <v>100</v>
      </c>
      <c r="B99" s="125"/>
      <c r="C99" s="125"/>
      <c r="D99" s="125"/>
      <c r="E99" s="125"/>
      <c r="F99" s="125"/>
      <c r="G99" s="125"/>
      <c r="H99" s="125"/>
      <c r="I99" s="125"/>
      <c r="J99" s="125"/>
      <c r="K99" s="125"/>
      <c r="L99" s="125"/>
      <c r="M99" s="125"/>
      <c r="N99" s="125"/>
      <c r="O99" s="125"/>
      <c r="P99" s="125"/>
      <c r="Q99" s="125"/>
      <c r="R99" s="125"/>
      <c r="S99" s="125"/>
      <c r="T99" s="126"/>
    </row>
    <row r="100" spans="1:22" s="45" customFormat="1" ht="16.5" customHeight="1" x14ac:dyDescent="0.25">
      <c r="A100" s="87" t="s">
        <v>3</v>
      </c>
      <c r="B100" s="11" t="s">
        <v>72</v>
      </c>
      <c r="C100" s="11"/>
      <c r="D100" s="11"/>
      <c r="E100" s="11"/>
      <c r="F100" s="11"/>
      <c r="G100" s="12" t="s">
        <v>84</v>
      </c>
      <c r="H100" s="11" t="s">
        <v>5</v>
      </c>
      <c r="I100" s="11" t="s">
        <v>6</v>
      </c>
      <c r="J100" s="24">
        <f>J102</f>
        <v>500000000</v>
      </c>
      <c r="K100" s="24">
        <f t="shared" ref="K100:L100" si="58">K102</f>
        <v>2478346</v>
      </c>
      <c r="L100" s="24">
        <f t="shared" si="58"/>
        <v>2478346</v>
      </c>
      <c r="M100" s="24">
        <f>M102</f>
        <v>500000000</v>
      </c>
      <c r="N100" s="24">
        <f>N102+N106</f>
        <v>0</v>
      </c>
      <c r="O100" s="24">
        <f>O102</f>
        <v>492478346</v>
      </c>
      <c r="P100" s="24">
        <f>P102</f>
        <v>7521654</v>
      </c>
      <c r="Q100" s="24">
        <f>Q102</f>
        <v>492478346</v>
      </c>
      <c r="R100" s="26">
        <f>IF(Q100&gt;1,Q100/(M100-N100),0)</f>
        <v>0.98495669200000002</v>
      </c>
      <c r="S100" s="24">
        <f>S102</f>
        <v>492478346</v>
      </c>
      <c r="T100" s="33">
        <f>T102</f>
        <v>492478346</v>
      </c>
    </row>
    <row r="101" spans="1:22" s="45" customFormat="1" ht="16.5" customHeight="1" x14ac:dyDescent="0.25">
      <c r="A101" s="87" t="s">
        <v>3</v>
      </c>
      <c r="B101" s="11" t="s">
        <v>72</v>
      </c>
      <c r="C101" s="11"/>
      <c r="D101" s="11"/>
      <c r="E101" s="11"/>
      <c r="F101" s="11"/>
      <c r="G101" s="12" t="s">
        <v>84</v>
      </c>
      <c r="H101" s="11" t="s">
        <v>5</v>
      </c>
      <c r="I101" s="11">
        <v>11</v>
      </c>
      <c r="J101" s="24">
        <f>J105</f>
        <v>906000000</v>
      </c>
      <c r="K101" s="24">
        <f t="shared" ref="K101:L101" si="59">K105</f>
        <v>0</v>
      </c>
      <c r="L101" s="24">
        <f t="shared" si="59"/>
        <v>0</v>
      </c>
      <c r="M101" s="24">
        <f>M105</f>
        <v>906000000</v>
      </c>
      <c r="N101" s="24">
        <f>N105</f>
        <v>0</v>
      </c>
      <c r="O101" s="24">
        <f>O105</f>
        <v>0</v>
      </c>
      <c r="P101" s="24">
        <f>P105</f>
        <v>906000000</v>
      </c>
      <c r="Q101" s="24">
        <f>Q105</f>
        <v>0</v>
      </c>
      <c r="R101" s="26">
        <f t="shared" ref="R101:R112" si="60">IF(Q101&gt;1,Q101/(M101-N101),0)</f>
        <v>0</v>
      </c>
      <c r="S101" s="24">
        <f>S105</f>
        <v>0</v>
      </c>
      <c r="T101" s="33">
        <f>T105</f>
        <v>0</v>
      </c>
    </row>
    <row r="102" spans="1:22" s="6" customFormat="1" ht="16.5" customHeight="1" x14ac:dyDescent="0.25">
      <c r="A102" s="87" t="s">
        <v>3</v>
      </c>
      <c r="B102" s="11" t="s">
        <v>72</v>
      </c>
      <c r="C102" s="11" t="s">
        <v>34</v>
      </c>
      <c r="D102" s="11"/>
      <c r="E102" s="11"/>
      <c r="F102" s="11"/>
      <c r="G102" s="12" t="s">
        <v>82</v>
      </c>
      <c r="H102" s="11" t="s">
        <v>5</v>
      </c>
      <c r="I102" s="11" t="s">
        <v>6</v>
      </c>
      <c r="J102" s="24">
        <f>J103+J104</f>
        <v>500000000</v>
      </c>
      <c r="K102" s="24">
        <f t="shared" ref="K102" si="61">K103+K104</f>
        <v>2478346</v>
      </c>
      <c r="L102" s="24">
        <f>L103+L104</f>
        <v>2478346</v>
      </c>
      <c r="M102" s="24">
        <f>M103+M104</f>
        <v>500000000</v>
      </c>
      <c r="N102" s="24">
        <f>N103+N104</f>
        <v>0</v>
      </c>
      <c r="O102" s="24">
        <f>O103+O104</f>
        <v>492478346</v>
      </c>
      <c r="P102" s="24">
        <f>M102-O102-N102</f>
        <v>7521654</v>
      </c>
      <c r="Q102" s="24">
        <f>Q103+Q104</f>
        <v>492478346</v>
      </c>
      <c r="R102" s="26">
        <f>IF(Q102&gt;1,Q102/(M102-N102),0)</f>
        <v>0.98495669200000002</v>
      </c>
      <c r="S102" s="24">
        <f>S103+S104</f>
        <v>492478346</v>
      </c>
      <c r="T102" s="33">
        <f>T103+T104</f>
        <v>492478346</v>
      </c>
    </row>
    <row r="103" spans="1:22" s="6" customFormat="1" ht="16.5" customHeight="1" x14ac:dyDescent="0.25">
      <c r="A103" s="87" t="s">
        <v>3</v>
      </c>
      <c r="B103" s="7" t="s">
        <v>72</v>
      </c>
      <c r="C103" s="7" t="s">
        <v>34</v>
      </c>
      <c r="D103" s="7" t="s">
        <v>50</v>
      </c>
      <c r="E103" s="7" t="s">
        <v>35</v>
      </c>
      <c r="F103" s="7"/>
      <c r="G103" s="23" t="s">
        <v>76</v>
      </c>
      <c r="H103" s="7" t="s">
        <v>5</v>
      </c>
      <c r="I103" s="7" t="s">
        <v>6</v>
      </c>
      <c r="J103" s="27">
        <v>490000000</v>
      </c>
      <c r="K103" s="27">
        <v>2478346</v>
      </c>
      <c r="L103" s="27"/>
      <c r="M103" s="27">
        <f t="shared" ref="M103:M104" si="62">J103+K103-L103</f>
        <v>492478346</v>
      </c>
      <c r="N103" s="9">
        <v>0</v>
      </c>
      <c r="O103" s="27">
        <v>492478346</v>
      </c>
      <c r="P103" s="27">
        <f>+M103-O103-N103</f>
        <v>0</v>
      </c>
      <c r="Q103" s="27">
        <v>492478346</v>
      </c>
      <c r="R103" s="26">
        <f>IF(Q103&gt;1,Q103/(M103-N103),0)</f>
        <v>1</v>
      </c>
      <c r="S103" s="27">
        <v>492478346</v>
      </c>
      <c r="T103" s="48">
        <v>492478346</v>
      </c>
    </row>
    <row r="104" spans="1:22" s="45" customFormat="1" ht="16.5" customHeight="1" x14ac:dyDescent="0.25">
      <c r="A104" s="87" t="s">
        <v>3</v>
      </c>
      <c r="B104" s="7" t="s">
        <v>72</v>
      </c>
      <c r="C104" s="7" t="s">
        <v>34</v>
      </c>
      <c r="D104" s="7" t="s">
        <v>50</v>
      </c>
      <c r="E104" s="7" t="s">
        <v>43</v>
      </c>
      <c r="F104" s="7"/>
      <c r="G104" s="23" t="s">
        <v>77</v>
      </c>
      <c r="H104" s="7" t="s">
        <v>5</v>
      </c>
      <c r="I104" s="7" t="s">
        <v>6</v>
      </c>
      <c r="J104" s="27">
        <v>10000000</v>
      </c>
      <c r="K104" s="27"/>
      <c r="L104" s="27">
        <v>2478346</v>
      </c>
      <c r="M104" s="27">
        <f t="shared" si="62"/>
        <v>7521654</v>
      </c>
      <c r="N104" s="9">
        <v>0</v>
      </c>
      <c r="O104" s="27">
        <v>0</v>
      </c>
      <c r="P104" s="27">
        <f>+M104-O104-N104</f>
        <v>7521654</v>
      </c>
      <c r="Q104" s="27">
        <v>0</v>
      </c>
      <c r="R104" s="26">
        <f t="shared" si="60"/>
        <v>0</v>
      </c>
      <c r="S104" s="27">
        <v>0</v>
      </c>
      <c r="T104" s="48">
        <v>0</v>
      </c>
    </row>
    <row r="105" spans="1:22" s="45" customFormat="1" ht="16.5" customHeight="1" x14ac:dyDescent="0.25">
      <c r="A105" s="87" t="s">
        <v>3</v>
      </c>
      <c r="B105" s="11" t="s">
        <v>72</v>
      </c>
      <c r="C105" s="11" t="s">
        <v>70</v>
      </c>
      <c r="D105" s="11"/>
      <c r="E105" s="11"/>
      <c r="F105" s="11"/>
      <c r="G105" s="12" t="s">
        <v>131</v>
      </c>
      <c r="H105" s="11" t="s">
        <v>5</v>
      </c>
      <c r="I105" s="11">
        <v>11</v>
      </c>
      <c r="J105" s="24">
        <f>J106</f>
        <v>906000000</v>
      </c>
      <c r="K105" s="24"/>
      <c r="L105" s="24"/>
      <c r="M105" s="24">
        <f>M106</f>
        <v>906000000</v>
      </c>
      <c r="N105" s="14">
        <f>N106</f>
        <v>0</v>
      </c>
      <c r="O105" s="24">
        <f t="shared" ref="O105:T106" si="63">O106</f>
        <v>0</v>
      </c>
      <c r="P105" s="24">
        <f>+M105-O105-N105</f>
        <v>906000000</v>
      </c>
      <c r="Q105" s="24">
        <f t="shared" si="63"/>
        <v>0</v>
      </c>
      <c r="R105" s="26">
        <f t="shared" si="60"/>
        <v>0</v>
      </c>
      <c r="S105" s="24">
        <f t="shared" si="63"/>
        <v>0</v>
      </c>
      <c r="T105" s="33">
        <f t="shared" si="63"/>
        <v>0</v>
      </c>
    </row>
    <row r="106" spans="1:22" s="6" customFormat="1" ht="16.5" customHeight="1" x14ac:dyDescent="0.25">
      <c r="A106" s="87" t="s">
        <v>3</v>
      </c>
      <c r="B106" s="11" t="s">
        <v>72</v>
      </c>
      <c r="C106" s="11" t="s">
        <v>70</v>
      </c>
      <c r="D106" s="68" t="s">
        <v>34</v>
      </c>
      <c r="E106" s="11"/>
      <c r="F106" s="11"/>
      <c r="G106" s="12" t="s">
        <v>83</v>
      </c>
      <c r="H106" s="11" t="s">
        <v>5</v>
      </c>
      <c r="I106" s="11">
        <v>11</v>
      </c>
      <c r="J106" s="24">
        <f>J107</f>
        <v>906000000</v>
      </c>
      <c r="K106" s="24">
        <f t="shared" ref="K106:L106" si="64">K107</f>
        <v>0</v>
      </c>
      <c r="L106" s="24">
        <f t="shared" si="64"/>
        <v>0</v>
      </c>
      <c r="M106" s="24">
        <f>M107</f>
        <v>906000000</v>
      </c>
      <c r="N106" s="14">
        <f>N107</f>
        <v>0</v>
      </c>
      <c r="O106" s="24">
        <f t="shared" si="63"/>
        <v>0</v>
      </c>
      <c r="P106" s="24">
        <f>+M106-O106-N106</f>
        <v>906000000</v>
      </c>
      <c r="Q106" s="24">
        <f t="shared" si="63"/>
        <v>0</v>
      </c>
      <c r="R106" s="26">
        <f t="shared" si="60"/>
        <v>0</v>
      </c>
      <c r="S106" s="24">
        <f t="shared" si="63"/>
        <v>0</v>
      </c>
      <c r="T106" s="33">
        <f t="shared" si="63"/>
        <v>0</v>
      </c>
    </row>
    <row r="107" spans="1:22" ht="18" customHeight="1" x14ac:dyDescent="0.25">
      <c r="A107" s="88" t="s">
        <v>3</v>
      </c>
      <c r="B107" s="7" t="s">
        <v>72</v>
      </c>
      <c r="C107" s="7" t="s">
        <v>70</v>
      </c>
      <c r="D107" s="7" t="s">
        <v>34</v>
      </c>
      <c r="E107" s="7"/>
      <c r="F107" s="7"/>
      <c r="G107" s="23" t="s">
        <v>83</v>
      </c>
      <c r="H107" s="7" t="s">
        <v>5</v>
      </c>
      <c r="I107" s="7">
        <v>11</v>
      </c>
      <c r="J107" s="27">
        <v>906000000</v>
      </c>
      <c r="K107" s="27">
        <v>0</v>
      </c>
      <c r="L107" s="27">
        <v>0</v>
      </c>
      <c r="M107" s="27">
        <f>J107+K107-L107</f>
        <v>906000000</v>
      </c>
      <c r="N107" s="9">
        <v>0</v>
      </c>
      <c r="O107" s="27"/>
      <c r="P107" s="27">
        <f>+M107-O107-N107</f>
        <v>906000000</v>
      </c>
      <c r="Q107" s="27"/>
      <c r="R107" s="25">
        <f t="shared" si="60"/>
        <v>0</v>
      </c>
      <c r="S107" s="27"/>
      <c r="T107" s="48"/>
    </row>
    <row r="108" spans="1:22" ht="26.25" customHeight="1" x14ac:dyDescent="0.25">
      <c r="A108" s="89" t="s">
        <v>3</v>
      </c>
      <c r="B108" s="78" t="s">
        <v>72</v>
      </c>
      <c r="C108" s="78"/>
      <c r="D108" s="78"/>
      <c r="E108" s="78"/>
      <c r="F108" s="78"/>
      <c r="G108" s="79" t="s">
        <v>99</v>
      </c>
      <c r="H108" s="78" t="s">
        <v>5</v>
      </c>
      <c r="I108" s="80" t="s">
        <v>6</v>
      </c>
      <c r="J108" s="61">
        <f>J100</f>
        <v>500000000</v>
      </c>
      <c r="K108" s="61">
        <f t="shared" ref="K108:L108" si="65">K100</f>
        <v>2478346</v>
      </c>
      <c r="L108" s="61">
        <f t="shared" si="65"/>
        <v>2478346</v>
      </c>
      <c r="M108" s="61">
        <f>M100</f>
        <v>500000000</v>
      </c>
      <c r="N108" s="61">
        <f>N102</f>
        <v>0</v>
      </c>
      <c r="O108" s="61">
        <f>O102</f>
        <v>492478346</v>
      </c>
      <c r="P108" s="61">
        <f>P102</f>
        <v>7521654</v>
      </c>
      <c r="Q108" s="61">
        <f>Q102</f>
        <v>492478346</v>
      </c>
      <c r="R108" s="73">
        <f t="shared" si="60"/>
        <v>0.98495669200000002</v>
      </c>
      <c r="S108" s="61">
        <f>S102</f>
        <v>492478346</v>
      </c>
      <c r="T108" s="70">
        <f>T102</f>
        <v>492478346</v>
      </c>
    </row>
    <row r="109" spans="1:22" ht="26.25" customHeight="1" x14ac:dyDescent="0.25">
      <c r="A109" s="89" t="s">
        <v>3</v>
      </c>
      <c r="B109" s="78" t="s">
        <v>72</v>
      </c>
      <c r="C109" s="78"/>
      <c r="D109" s="78"/>
      <c r="E109" s="78"/>
      <c r="F109" s="78"/>
      <c r="G109" s="79" t="s">
        <v>99</v>
      </c>
      <c r="H109" s="78" t="s">
        <v>5</v>
      </c>
      <c r="I109" s="80">
        <v>11</v>
      </c>
      <c r="J109" s="61">
        <f>J101</f>
        <v>906000000</v>
      </c>
      <c r="K109" s="61">
        <f t="shared" ref="K109:L109" si="66">K101</f>
        <v>0</v>
      </c>
      <c r="L109" s="61">
        <f t="shared" si="66"/>
        <v>0</v>
      </c>
      <c r="M109" s="61">
        <f>M101</f>
        <v>906000000</v>
      </c>
      <c r="N109" s="61">
        <f>N106</f>
        <v>0</v>
      </c>
      <c r="O109" s="61">
        <f>O101</f>
        <v>0</v>
      </c>
      <c r="P109" s="61">
        <f>P101</f>
        <v>906000000</v>
      </c>
      <c r="Q109" s="61">
        <f>Q101</f>
        <v>0</v>
      </c>
      <c r="R109" s="73">
        <f t="shared" si="60"/>
        <v>0</v>
      </c>
      <c r="S109" s="61">
        <f>S101</f>
        <v>0</v>
      </c>
      <c r="T109" s="70">
        <f>T101</f>
        <v>0</v>
      </c>
    </row>
    <row r="110" spans="1:22" ht="16.5" customHeight="1" x14ac:dyDescent="0.25">
      <c r="A110" s="130" t="s">
        <v>103</v>
      </c>
      <c r="B110" s="131"/>
      <c r="C110" s="131"/>
      <c r="D110" s="131"/>
      <c r="E110" s="131"/>
      <c r="F110" s="131"/>
      <c r="G110" s="131"/>
      <c r="H110" s="131"/>
      <c r="I110" s="132"/>
      <c r="J110" s="74">
        <f>J108+J109</f>
        <v>1406000000</v>
      </c>
      <c r="K110" s="74">
        <f t="shared" ref="K110:L110" si="67">K108+K109</f>
        <v>2478346</v>
      </c>
      <c r="L110" s="74">
        <f t="shared" si="67"/>
        <v>2478346</v>
      </c>
      <c r="M110" s="74">
        <f>M108+M109</f>
        <v>1406000000</v>
      </c>
      <c r="N110" s="74">
        <f>N108+N109</f>
        <v>0</v>
      </c>
      <c r="O110" s="74">
        <f>O108+O109</f>
        <v>492478346</v>
      </c>
      <c r="P110" s="74">
        <f>P108+P109</f>
        <v>913521654</v>
      </c>
      <c r="Q110" s="74">
        <f>Q108+Q109</f>
        <v>492478346</v>
      </c>
      <c r="R110" s="73">
        <f>IF(Q110&gt;1,Q110/(M110-N110),0)</f>
        <v>0.35026909388335703</v>
      </c>
      <c r="S110" s="74">
        <f>S108+S109</f>
        <v>492478346</v>
      </c>
      <c r="T110" s="75">
        <f>T108+T109</f>
        <v>492478346</v>
      </c>
    </row>
    <row r="111" spans="1:22" ht="16.5" customHeight="1" x14ac:dyDescent="0.25">
      <c r="A111" s="90" t="s">
        <v>3</v>
      </c>
      <c r="B111" s="81"/>
      <c r="C111" s="81"/>
      <c r="D111" s="81"/>
      <c r="E111" s="81"/>
      <c r="F111" s="81"/>
      <c r="G111" s="82" t="s">
        <v>4</v>
      </c>
      <c r="H111" s="81" t="s">
        <v>5</v>
      </c>
      <c r="I111" s="83">
        <v>10</v>
      </c>
      <c r="J111" s="69">
        <f>+J108+J85+J33+J97</f>
        <v>407772915847</v>
      </c>
      <c r="K111" s="69">
        <f>+K108+K85+K33+K97</f>
        <v>2465554355</v>
      </c>
      <c r="L111" s="69">
        <f>+L108+L85+L33+L97</f>
        <v>2465554355</v>
      </c>
      <c r="M111" s="69">
        <f>+M108+M85+M33+M97</f>
        <v>407772915847</v>
      </c>
      <c r="N111" s="69">
        <v>0</v>
      </c>
      <c r="O111" s="69">
        <f>+O108+O85+O33+O97</f>
        <v>162248125776.94</v>
      </c>
      <c r="P111" s="69">
        <f>+P108+P85+P33+P97</f>
        <v>245524790070.06</v>
      </c>
      <c r="Q111" s="69">
        <f>+Q108+Q85+Q33+Q97</f>
        <v>155726961986.64001</v>
      </c>
      <c r="R111" s="71">
        <f>IF(Q111&gt;1,Q111/(M111-N111),0)</f>
        <v>0.3818962857382861</v>
      </c>
      <c r="S111" s="69">
        <f>+S108+S85+S33+S97</f>
        <v>136169615161.64</v>
      </c>
      <c r="T111" s="72">
        <f>+T108+T85+T33+T97</f>
        <v>135996529812.53999</v>
      </c>
    </row>
    <row r="112" spans="1:22" ht="16.5" customHeight="1" x14ac:dyDescent="0.25">
      <c r="A112" s="90" t="s">
        <v>3</v>
      </c>
      <c r="B112" s="81"/>
      <c r="C112" s="81"/>
      <c r="D112" s="81"/>
      <c r="E112" s="81"/>
      <c r="F112" s="81"/>
      <c r="G112" s="82" t="s">
        <v>4</v>
      </c>
      <c r="H112" s="81" t="s">
        <v>5</v>
      </c>
      <c r="I112" s="83">
        <v>11</v>
      </c>
      <c r="J112" s="69">
        <f>J109</f>
        <v>906000000</v>
      </c>
      <c r="K112" s="69">
        <f t="shared" ref="K112:L112" si="68">K109</f>
        <v>0</v>
      </c>
      <c r="L112" s="69">
        <f t="shared" si="68"/>
        <v>0</v>
      </c>
      <c r="M112" s="69">
        <f>M109</f>
        <v>906000000</v>
      </c>
      <c r="N112" s="69">
        <f>N109</f>
        <v>0</v>
      </c>
      <c r="O112" s="69">
        <f>O109</f>
        <v>0</v>
      </c>
      <c r="P112" s="69">
        <f>P109</f>
        <v>906000000</v>
      </c>
      <c r="Q112" s="69">
        <f>Q109</f>
        <v>0</v>
      </c>
      <c r="R112" s="71">
        <f t="shared" si="60"/>
        <v>0</v>
      </c>
      <c r="S112" s="69">
        <f>S109</f>
        <v>0</v>
      </c>
      <c r="T112" s="72">
        <f>T109</f>
        <v>0</v>
      </c>
    </row>
    <row r="113" spans="1:20" ht="16.5" customHeight="1" x14ac:dyDescent="0.25">
      <c r="A113" s="90" t="s">
        <v>3</v>
      </c>
      <c r="B113" s="81"/>
      <c r="C113" s="81"/>
      <c r="D113" s="81"/>
      <c r="E113" s="81"/>
      <c r="F113" s="81"/>
      <c r="G113" s="82" t="s">
        <v>4</v>
      </c>
      <c r="H113" s="81" t="s">
        <v>8</v>
      </c>
      <c r="I113" s="83">
        <v>20</v>
      </c>
      <c r="J113" s="69">
        <f>J86</f>
        <v>2873920000</v>
      </c>
      <c r="K113" s="69">
        <f>K86</f>
        <v>0</v>
      </c>
      <c r="L113" s="69">
        <f>L86</f>
        <v>0</v>
      </c>
      <c r="M113" s="69">
        <f>M86</f>
        <v>2873920000</v>
      </c>
      <c r="N113" s="116"/>
      <c r="O113" s="69">
        <f>O86</f>
        <v>0</v>
      </c>
      <c r="P113" s="69">
        <f>P86</f>
        <v>2873920000</v>
      </c>
      <c r="Q113" s="69">
        <f>Q86</f>
        <v>0</v>
      </c>
      <c r="R113" s="71">
        <f>IF(Q113&gt;1,Q113/(M113-N113),0)</f>
        <v>0</v>
      </c>
      <c r="S113" s="69">
        <f>S86</f>
        <v>0</v>
      </c>
      <c r="T113" s="72">
        <f>T86</f>
        <v>0</v>
      </c>
    </row>
    <row r="114" spans="1:20" ht="15.75" customHeight="1" thickBot="1" x14ac:dyDescent="0.3">
      <c r="A114" s="133" t="s">
        <v>28</v>
      </c>
      <c r="B114" s="134"/>
      <c r="C114" s="134"/>
      <c r="D114" s="134"/>
      <c r="E114" s="134"/>
      <c r="F114" s="134"/>
      <c r="G114" s="134"/>
      <c r="H114" s="134"/>
      <c r="I114" s="135"/>
      <c r="J114" s="41">
        <f t="shared" ref="J114:Q114" si="69">SUM(J111:J113)</f>
        <v>411552835847</v>
      </c>
      <c r="K114" s="41">
        <f t="shared" si="69"/>
        <v>2465554355</v>
      </c>
      <c r="L114" s="41">
        <f t="shared" si="69"/>
        <v>2465554355</v>
      </c>
      <c r="M114" s="41">
        <f t="shared" si="69"/>
        <v>411552835847</v>
      </c>
      <c r="N114" s="41">
        <v>0</v>
      </c>
      <c r="O114" s="41">
        <f t="shared" si="69"/>
        <v>162248125776.94</v>
      </c>
      <c r="P114" s="41">
        <f t="shared" si="69"/>
        <v>249304710070.06</v>
      </c>
      <c r="Q114" s="41">
        <f t="shared" si="69"/>
        <v>155726961986.64001</v>
      </c>
      <c r="R114" s="71">
        <f>IF(Q114&gt;1,Q114/(M114-N114),0)</f>
        <v>0.37838874725803978</v>
      </c>
      <c r="S114" s="41">
        <f>SUM(S111:S113)</f>
        <v>136169615161.64</v>
      </c>
      <c r="T114" s="49">
        <f>SUM(T111:T113)</f>
        <v>135996529812.53999</v>
      </c>
    </row>
    <row r="115" spans="1:20" s="6" customFormat="1" ht="18.75" customHeight="1" thickBot="1" x14ac:dyDescent="0.3">
      <c r="A115" s="124" t="s">
        <v>31</v>
      </c>
      <c r="B115" s="125"/>
      <c r="C115" s="125"/>
      <c r="D115" s="125"/>
      <c r="E115" s="125"/>
      <c r="F115" s="125"/>
      <c r="G115" s="125"/>
      <c r="H115" s="125"/>
      <c r="I115" s="125"/>
      <c r="J115" s="125"/>
      <c r="K115" s="125"/>
      <c r="L115" s="125"/>
      <c r="M115" s="125"/>
      <c r="N115" s="125"/>
      <c r="O115" s="125"/>
      <c r="P115" s="125"/>
      <c r="Q115" s="125"/>
      <c r="R115" s="125"/>
      <c r="S115" s="125"/>
      <c r="T115" s="126"/>
    </row>
    <row r="116" spans="1:20" s="6" customFormat="1" ht="24.75" customHeight="1" x14ac:dyDescent="0.25">
      <c r="A116" s="87" t="s">
        <v>18</v>
      </c>
      <c r="B116" s="11">
        <v>2901</v>
      </c>
      <c r="C116" s="11"/>
      <c r="D116" s="11"/>
      <c r="E116" s="11"/>
      <c r="F116" s="11"/>
      <c r="G116" s="12" t="s">
        <v>98</v>
      </c>
      <c r="H116" s="11" t="s">
        <v>5</v>
      </c>
      <c r="I116" s="13">
        <v>10</v>
      </c>
      <c r="J116" s="24">
        <f>J118+J120+J124+J126+J135+J139+J130</f>
        <v>56704864098</v>
      </c>
      <c r="K116" s="24">
        <f t="shared" ref="K116:Q116" si="70">K118+K120+K124+K126+K135+K139+K130</f>
        <v>3159178868</v>
      </c>
      <c r="L116" s="24">
        <f t="shared" si="70"/>
        <v>3159178868</v>
      </c>
      <c r="M116" s="24">
        <f>M118+M120+M124+M126+M135+M139+M130</f>
        <v>56704864098</v>
      </c>
      <c r="N116" s="14">
        <f>N118+N120+N124+N126+N135+N139+N130</f>
        <v>0</v>
      </c>
      <c r="O116" s="85">
        <f t="shared" si="70"/>
        <v>43341100183.360001</v>
      </c>
      <c r="P116" s="24">
        <f t="shared" si="70"/>
        <v>13363763914.639999</v>
      </c>
      <c r="Q116" s="14">
        <f t="shared" si="70"/>
        <v>21220828884.360001</v>
      </c>
      <c r="R116" s="26">
        <f>IF(Q116&gt;1,Q116/(M116-N116),0)</f>
        <v>0.37423295553067848</v>
      </c>
      <c r="S116" s="14">
        <f t="shared" ref="S116:T116" si="71">S118+S120+S124+S126+S135+S139+S130</f>
        <v>812494803.08000004</v>
      </c>
      <c r="T116" s="22">
        <f t="shared" si="71"/>
        <v>806446405.08000004</v>
      </c>
    </row>
    <row r="117" spans="1:20" ht="33" customHeight="1" x14ac:dyDescent="0.25">
      <c r="A117" s="87" t="s">
        <v>18</v>
      </c>
      <c r="B117" s="11">
        <v>2901</v>
      </c>
      <c r="C117" s="11"/>
      <c r="D117" s="11"/>
      <c r="E117" s="11"/>
      <c r="F117" s="11"/>
      <c r="G117" s="12" t="s">
        <v>98</v>
      </c>
      <c r="H117" s="11" t="s">
        <v>8</v>
      </c>
      <c r="I117" s="13">
        <v>21</v>
      </c>
      <c r="J117" s="14">
        <f>J131</f>
        <v>315108465</v>
      </c>
      <c r="K117" s="14">
        <f t="shared" ref="K117:Q117" si="72">K131</f>
        <v>0</v>
      </c>
      <c r="L117" s="24">
        <f t="shared" si="72"/>
        <v>0</v>
      </c>
      <c r="M117" s="24">
        <f>M131</f>
        <v>315108465</v>
      </c>
      <c r="N117" s="14">
        <f>N131</f>
        <v>0</v>
      </c>
      <c r="O117" s="14">
        <f t="shared" si="72"/>
        <v>315108465</v>
      </c>
      <c r="P117" s="24">
        <f t="shared" si="72"/>
        <v>0</v>
      </c>
      <c r="Q117" s="14">
        <f t="shared" si="72"/>
        <v>315108465</v>
      </c>
      <c r="R117" s="26">
        <f t="shared" ref="R117:R164" si="73">IF(Q117&gt;1,Q117/(M117-N117),0)</f>
        <v>1</v>
      </c>
      <c r="S117" s="14">
        <f t="shared" ref="S117:T117" si="74">S131</f>
        <v>0</v>
      </c>
      <c r="T117" s="22">
        <f t="shared" si="74"/>
        <v>0</v>
      </c>
    </row>
    <row r="118" spans="1:20" ht="33" customHeight="1" x14ac:dyDescent="0.25">
      <c r="A118" s="92" t="s">
        <v>18</v>
      </c>
      <c r="B118" s="95" t="s">
        <v>88</v>
      </c>
      <c r="C118" s="95" t="s">
        <v>89</v>
      </c>
      <c r="D118" s="95" t="s">
        <v>90</v>
      </c>
      <c r="E118" s="11"/>
      <c r="F118" s="11"/>
      <c r="G118" s="12" t="s">
        <v>184</v>
      </c>
      <c r="H118" s="95" t="s">
        <v>5</v>
      </c>
      <c r="I118" s="96">
        <v>10</v>
      </c>
      <c r="J118" s="14">
        <f>J119</f>
        <v>16539224320</v>
      </c>
      <c r="K118" s="14">
        <f>K119</f>
        <v>0</v>
      </c>
      <c r="L118" s="24">
        <f t="shared" ref="L118" si="75">L119</f>
        <v>0</v>
      </c>
      <c r="M118" s="24">
        <f>M119</f>
        <v>16539224320</v>
      </c>
      <c r="N118" s="14">
        <f>N119</f>
        <v>0</v>
      </c>
      <c r="O118" s="14">
        <f>O119</f>
        <v>11956695310.08</v>
      </c>
      <c r="P118" s="24">
        <f>P119</f>
        <v>4582529009.9200001</v>
      </c>
      <c r="Q118" s="14">
        <f>Q119</f>
        <v>4767767473.0799999</v>
      </c>
      <c r="R118" s="26">
        <f t="shared" si="73"/>
        <v>0.28827031914154483</v>
      </c>
      <c r="S118" s="14">
        <f>S119</f>
        <v>255233526.08000001</v>
      </c>
      <c r="T118" s="22">
        <f>T119</f>
        <v>255233526.08000001</v>
      </c>
    </row>
    <row r="119" spans="1:20" ht="50.25" customHeight="1" x14ac:dyDescent="0.25">
      <c r="A119" s="91" t="s">
        <v>18</v>
      </c>
      <c r="B119" s="53" t="s">
        <v>88</v>
      </c>
      <c r="C119" s="53" t="s">
        <v>89</v>
      </c>
      <c r="D119" s="53" t="s">
        <v>90</v>
      </c>
      <c r="E119" s="53" t="s">
        <v>204</v>
      </c>
      <c r="F119" s="53" t="s">
        <v>142</v>
      </c>
      <c r="G119" s="23" t="s">
        <v>159</v>
      </c>
      <c r="H119" s="53" t="s">
        <v>5</v>
      </c>
      <c r="I119" s="54">
        <v>10</v>
      </c>
      <c r="J119" s="43">
        <v>16539224320</v>
      </c>
      <c r="K119" s="43">
        <v>0</v>
      </c>
      <c r="L119" s="43"/>
      <c r="M119" s="43">
        <f>J119+K119-L119</f>
        <v>16539224320</v>
      </c>
      <c r="N119" s="43">
        <v>0</v>
      </c>
      <c r="O119" s="43">
        <v>11956695310.08</v>
      </c>
      <c r="P119" s="43">
        <f t="shared" ref="P119:P140" si="76">+M119-O119-N119</f>
        <v>4582529009.9200001</v>
      </c>
      <c r="Q119" s="55">
        <v>4767767473.0799999</v>
      </c>
      <c r="R119" s="25">
        <f t="shared" si="73"/>
        <v>0.28827031914154483</v>
      </c>
      <c r="S119" s="55">
        <v>255233526.08000001</v>
      </c>
      <c r="T119" s="56">
        <v>255233526.08000001</v>
      </c>
    </row>
    <row r="120" spans="1:20" s="99" customFormat="1" ht="51.75" customHeight="1" x14ac:dyDescent="0.25">
      <c r="A120" s="92" t="s">
        <v>18</v>
      </c>
      <c r="B120" s="95" t="s">
        <v>88</v>
      </c>
      <c r="C120" s="95" t="s">
        <v>89</v>
      </c>
      <c r="D120" s="95" t="s">
        <v>7</v>
      </c>
      <c r="E120" s="95"/>
      <c r="F120" s="95"/>
      <c r="G120" s="12" t="s">
        <v>198</v>
      </c>
      <c r="H120" s="95" t="s">
        <v>5</v>
      </c>
      <c r="I120" s="96">
        <v>10</v>
      </c>
      <c r="J120" s="97">
        <f>J121+J122+J123</f>
        <v>4997000000</v>
      </c>
      <c r="K120" s="46">
        <f t="shared" ref="K120:T120" si="77">K121+K122+K123</f>
        <v>3159178868</v>
      </c>
      <c r="L120" s="46">
        <f t="shared" si="77"/>
        <v>3159178868</v>
      </c>
      <c r="M120" s="46">
        <f t="shared" si="77"/>
        <v>4997000000</v>
      </c>
      <c r="N120" s="46">
        <f t="shared" si="77"/>
        <v>0</v>
      </c>
      <c r="O120" s="46">
        <f t="shared" si="77"/>
        <v>2910354197</v>
      </c>
      <c r="P120" s="46">
        <f>P121+P122+P123</f>
        <v>2086645803</v>
      </c>
      <c r="Q120" s="46">
        <f t="shared" si="77"/>
        <v>1263014013</v>
      </c>
      <c r="R120" s="26">
        <f t="shared" si="73"/>
        <v>0.25275445527316392</v>
      </c>
      <c r="S120" s="97">
        <f t="shared" si="77"/>
        <v>547666589</v>
      </c>
      <c r="T120" s="98">
        <f t="shared" si="77"/>
        <v>545848879</v>
      </c>
    </row>
    <row r="121" spans="1:20" ht="65.25" customHeight="1" x14ac:dyDescent="0.25">
      <c r="A121" s="91" t="s">
        <v>18</v>
      </c>
      <c r="B121" s="53" t="s">
        <v>88</v>
      </c>
      <c r="C121" s="53" t="s">
        <v>89</v>
      </c>
      <c r="D121" s="53" t="s">
        <v>7</v>
      </c>
      <c r="E121" s="53" t="s">
        <v>205</v>
      </c>
      <c r="F121" s="53" t="s">
        <v>143</v>
      </c>
      <c r="G121" s="23" t="s">
        <v>160</v>
      </c>
      <c r="H121" s="53" t="s">
        <v>5</v>
      </c>
      <c r="I121" s="54">
        <v>10</v>
      </c>
      <c r="J121" s="43">
        <v>2492886732</v>
      </c>
      <c r="K121" s="43">
        <v>91217000</v>
      </c>
      <c r="L121" s="43">
        <v>2456245932</v>
      </c>
      <c r="M121" s="43">
        <f t="shared" ref="M121:M143" si="78">J121+K121-L121</f>
        <v>127857800</v>
      </c>
      <c r="N121" s="43">
        <v>0</v>
      </c>
      <c r="O121" s="43">
        <v>36640800</v>
      </c>
      <c r="P121" s="43">
        <f t="shared" si="76"/>
        <v>91217000</v>
      </c>
      <c r="Q121" s="55">
        <v>36640800</v>
      </c>
      <c r="R121" s="25">
        <f t="shared" si="73"/>
        <v>0.28657461648800464</v>
      </c>
      <c r="S121" s="55">
        <v>0</v>
      </c>
      <c r="T121" s="56">
        <v>0</v>
      </c>
    </row>
    <row r="122" spans="1:20" ht="76.5" customHeight="1" x14ac:dyDescent="0.25">
      <c r="A122" s="91" t="s">
        <v>18</v>
      </c>
      <c r="B122" s="53" t="s">
        <v>88</v>
      </c>
      <c r="C122" s="53" t="s">
        <v>89</v>
      </c>
      <c r="D122" s="53" t="s">
        <v>7</v>
      </c>
      <c r="E122" s="53" t="s">
        <v>205</v>
      </c>
      <c r="F122" s="53" t="s">
        <v>144</v>
      </c>
      <c r="G122" s="23" t="s">
        <v>161</v>
      </c>
      <c r="H122" s="53" t="s">
        <v>5</v>
      </c>
      <c r="I122" s="54">
        <v>10</v>
      </c>
      <c r="J122" s="43">
        <v>2430160128</v>
      </c>
      <c r="K122" s="43"/>
      <c r="L122" s="43">
        <v>611715936</v>
      </c>
      <c r="M122" s="43">
        <f t="shared" si="78"/>
        <v>1818444192</v>
      </c>
      <c r="N122" s="43">
        <v>0</v>
      </c>
      <c r="O122" s="43">
        <v>1218693213</v>
      </c>
      <c r="P122" s="43">
        <f t="shared" ref="P122:P123" si="79">+M122-O122-N122</f>
        <v>599750979</v>
      </c>
      <c r="Q122" s="55">
        <v>1218693213</v>
      </c>
      <c r="R122" s="25">
        <f t="shared" si="73"/>
        <v>0.67018455576556957</v>
      </c>
      <c r="S122" s="55">
        <v>547666589</v>
      </c>
      <c r="T122" s="56">
        <v>545848879</v>
      </c>
    </row>
    <row r="123" spans="1:20" ht="63.75" customHeight="1" x14ac:dyDescent="0.25">
      <c r="A123" s="91" t="s">
        <v>18</v>
      </c>
      <c r="B123" s="53" t="s">
        <v>88</v>
      </c>
      <c r="C123" s="53" t="s">
        <v>89</v>
      </c>
      <c r="D123" s="53" t="s">
        <v>7</v>
      </c>
      <c r="E123" s="53" t="s">
        <v>205</v>
      </c>
      <c r="F123" s="53" t="s">
        <v>145</v>
      </c>
      <c r="G123" s="23" t="s">
        <v>162</v>
      </c>
      <c r="H123" s="53" t="s">
        <v>5</v>
      </c>
      <c r="I123" s="54">
        <v>10</v>
      </c>
      <c r="J123" s="43">
        <v>73953140</v>
      </c>
      <c r="K123" s="43">
        <v>3067961868</v>
      </c>
      <c r="L123" s="43">
        <v>91217000</v>
      </c>
      <c r="M123" s="43">
        <f t="shared" si="78"/>
        <v>3050698008</v>
      </c>
      <c r="N123" s="43">
        <v>0</v>
      </c>
      <c r="O123" s="43">
        <v>1655020184</v>
      </c>
      <c r="P123" s="43">
        <f t="shared" si="79"/>
        <v>1395677824</v>
      </c>
      <c r="Q123" s="55">
        <v>7680000</v>
      </c>
      <c r="R123" s="25">
        <f t="shared" si="73"/>
        <v>2.5174566541363145E-3</v>
      </c>
      <c r="S123" s="55">
        <v>0</v>
      </c>
      <c r="T123" s="56">
        <v>0</v>
      </c>
    </row>
    <row r="124" spans="1:20" ht="49.5" customHeight="1" x14ac:dyDescent="0.25">
      <c r="A124" s="92" t="s">
        <v>18</v>
      </c>
      <c r="B124" s="95" t="s">
        <v>88</v>
      </c>
      <c r="C124" s="95" t="s">
        <v>89</v>
      </c>
      <c r="D124" s="95" t="s">
        <v>91</v>
      </c>
      <c r="E124" s="95"/>
      <c r="F124" s="95"/>
      <c r="G124" s="12" t="s">
        <v>185</v>
      </c>
      <c r="H124" s="95" t="s">
        <v>5</v>
      </c>
      <c r="I124" s="96">
        <v>10</v>
      </c>
      <c r="J124" s="46">
        <f>J125</f>
        <v>5373953280</v>
      </c>
      <c r="K124" s="46">
        <f t="shared" ref="K124:T124" si="80">K125</f>
        <v>0</v>
      </c>
      <c r="L124" s="46">
        <f t="shared" si="80"/>
        <v>0</v>
      </c>
      <c r="M124" s="46">
        <f>M125</f>
        <v>5373953280</v>
      </c>
      <c r="N124" s="46">
        <f>N125</f>
        <v>0</v>
      </c>
      <c r="O124" s="46">
        <f t="shared" si="80"/>
        <v>5373953280</v>
      </c>
      <c r="P124" s="46">
        <f>P125</f>
        <v>0</v>
      </c>
      <c r="Q124" s="46">
        <f t="shared" si="80"/>
        <v>5218563432</v>
      </c>
      <c r="R124" s="26">
        <f t="shared" si="73"/>
        <v>0.97108462989838273</v>
      </c>
      <c r="S124" s="97">
        <f t="shared" si="80"/>
        <v>4230688</v>
      </c>
      <c r="T124" s="98">
        <f t="shared" si="80"/>
        <v>0</v>
      </c>
    </row>
    <row r="125" spans="1:20" ht="33.75" customHeight="1" x14ac:dyDescent="0.25">
      <c r="A125" s="91" t="s">
        <v>18</v>
      </c>
      <c r="B125" s="53" t="s">
        <v>88</v>
      </c>
      <c r="C125" s="53" t="s">
        <v>89</v>
      </c>
      <c r="D125" s="53" t="s">
        <v>91</v>
      </c>
      <c r="E125" s="53" t="s">
        <v>204</v>
      </c>
      <c r="F125" s="53" t="s">
        <v>141</v>
      </c>
      <c r="G125" s="23" t="s">
        <v>163</v>
      </c>
      <c r="H125" s="53" t="s">
        <v>5</v>
      </c>
      <c r="I125" s="54">
        <v>10</v>
      </c>
      <c r="J125" s="55">
        <v>5373953280</v>
      </c>
      <c r="K125" s="55">
        <v>0</v>
      </c>
      <c r="L125" s="43">
        <v>0</v>
      </c>
      <c r="M125" s="43">
        <f t="shared" si="78"/>
        <v>5373953280</v>
      </c>
      <c r="N125" s="43">
        <v>0</v>
      </c>
      <c r="O125" s="43">
        <v>5373953280</v>
      </c>
      <c r="P125" s="43">
        <f t="shared" si="76"/>
        <v>0</v>
      </c>
      <c r="Q125" s="55">
        <v>5218563432</v>
      </c>
      <c r="R125" s="25">
        <f t="shared" si="73"/>
        <v>0.97108462989838273</v>
      </c>
      <c r="S125" s="55">
        <v>4230688</v>
      </c>
      <c r="T125" s="56"/>
    </row>
    <row r="126" spans="1:20" ht="51.75" customHeight="1" x14ac:dyDescent="0.25">
      <c r="A126" s="92" t="s">
        <v>18</v>
      </c>
      <c r="B126" s="95" t="s">
        <v>88</v>
      </c>
      <c r="C126" s="95" t="s">
        <v>89</v>
      </c>
      <c r="D126" s="95" t="s">
        <v>92</v>
      </c>
      <c r="E126" s="95"/>
      <c r="F126" s="95"/>
      <c r="G126" s="12" t="s">
        <v>186</v>
      </c>
      <c r="H126" s="95" t="s">
        <v>5</v>
      </c>
      <c r="I126" s="96">
        <v>10</v>
      </c>
      <c r="J126" s="97">
        <f>J127+J128+J129</f>
        <v>4768000000</v>
      </c>
      <c r="K126" s="97">
        <f>K127+K128+K129</f>
        <v>0</v>
      </c>
      <c r="L126" s="46">
        <f>L127+L128+L129</f>
        <v>0</v>
      </c>
      <c r="M126" s="46">
        <f t="shared" ref="M126:T126" si="81">M127+M128+M129</f>
        <v>4768000000</v>
      </c>
      <c r="N126" s="46">
        <f t="shared" si="81"/>
        <v>0</v>
      </c>
      <c r="O126" s="46">
        <f t="shared" si="81"/>
        <v>4768000000</v>
      </c>
      <c r="P126" s="46">
        <f>P127+P128+P129</f>
        <v>0</v>
      </c>
      <c r="Q126" s="97">
        <f t="shared" si="81"/>
        <v>3208722979</v>
      </c>
      <c r="R126" s="26">
        <f t="shared" si="73"/>
        <v>0.67297042344798663</v>
      </c>
      <c r="S126" s="97">
        <f t="shared" si="81"/>
        <v>0</v>
      </c>
      <c r="T126" s="98">
        <f t="shared" si="81"/>
        <v>0</v>
      </c>
    </row>
    <row r="127" spans="1:20" ht="58.5" customHeight="1" x14ac:dyDescent="0.25">
      <c r="A127" s="91" t="s">
        <v>18</v>
      </c>
      <c r="B127" s="53" t="s">
        <v>88</v>
      </c>
      <c r="C127" s="53" t="s">
        <v>89</v>
      </c>
      <c r="D127" s="53" t="s">
        <v>92</v>
      </c>
      <c r="E127" s="53" t="s">
        <v>206</v>
      </c>
      <c r="F127" s="53" t="s">
        <v>146</v>
      </c>
      <c r="G127" s="23" t="s">
        <v>164</v>
      </c>
      <c r="H127" s="53" t="s">
        <v>5</v>
      </c>
      <c r="I127" s="54">
        <v>10</v>
      </c>
      <c r="J127" s="43">
        <v>3208722979</v>
      </c>
      <c r="K127" s="43"/>
      <c r="L127" s="43">
        <v>0</v>
      </c>
      <c r="M127" s="43">
        <f t="shared" si="78"/>
        <v>3208722979</v>
      </c>
      <c r="N127" s="43">
        <v>0</v>
      </c>
      <c r="O127" s="43">
        <v>3208722979</v>
      </c>
      <c r="P127" s="43">
        <f t="shared" si="76"/>
        <v>0</v>
      </c>
      <c r="Q127" s="55">
        <v>3208722979</v>
      </c>
      <c r="R127" s="25">
        <f t="shared" si="73"/>
        <v>1</v>
      </c>
      <c r="S127" s="55"/>
      <c r="T127" s="56"/>
    </row>
    <row r="128" spans="1:20" ht="57.75" customHeight="1" x14ac:dyDescent="0.25">
      <c r="A128" s="91" t="s">
        <v>18</v>
      </c>
      <c r="B128" s="53" t="s">
        <v>88</v>
      </c>
      <c r="C128" s="53" t="s">
        <v>89</v>
      </c>
      <c r="D128" s="53" t="s">
        <v>92</v>
      </c>
      <c r="E128" s="53" t="s">
        <v>206</v>
      </c>
      <c r="F128" s="53" t="s">
        <v>147</v>
      </c>
      <c r="G128" s="23" t="s">
        <v>165</v>
      </c>
      <c r="H128" s="53" t="s">
        <v>5</v>
      </c>
      <c r="I128" s="54">
        <v>10</v>
      </c>
      <c r="J128" s="43">
        <v>1323487621</v>
      </c>
      <c r="K128" s="43">
        <v>0</v>
      </c>
      <c r="L128" s="43"/>
      <c r="M128" s="43">
        <f t="shared" si="78"/>
        <v>1323487621</v>
      </c>
      <c r="N128" s="43">
        <v>0</v>
      </c>
      <c r="O128" s="43">
        <v>1323487621</v>
      </c>
      <c r="P128" s="43">
        <f t="shared" ref="P128:P129" si="82">+M128-O128-N128</f>
        <v>0</v>
      </c>
      <c r="Q128" s="55">
        <v>0</v>
      </c>
      <c r="R128" s="25">
        <f t="shared" si="73"/>
        <v>0</v>
      </c>
      <c r="S128" s="55"/>
      <c r="T128" s="56"/>
    </row>
    <row r="129" spans="1:20" ht="57" customHeight="1" x14ac:dyDescent="0.25">
      <c r="A129" s="91" t="s">
        <v>18</v>
      </c>
      <c r="B129" s="53" t="s">
        <v>88</v>
      </c>
      <c r="C129" s="53" t="s">
        <v>89</v>
      </c>
      <c r="D129" s="53" t="s">
        <v>92</v>
      </c>
      <c r="E129" s="53" t="s">
        <v>206</v>
      </c>
      <c r="F129" s="53" t="s">
        <v>148</v>
      </c>
      <c r="G129" s="23" t="s">
        <v>166</v>
      </c>
      <c r="H129" s="53" t="s">
        <v>5</v>
      </c>
      <c r="I129" s="54">
        <v>10</v>
      </c>
      <c r="J129" s="43">
        <v>235789400</v>
      </c>
      <c r="K129" s="43">
        <v>0</v>
      </c>
      <c r="L129" s="43"/>
      <c r="M129" s="43">
        <f t="shared" si="78"/>
        <v>235789400</v>
      </c>
      <c r="N129" s="43">
        <v>0</v>
      </c>
      <c r="O129" s="43">
        <v>235789400</v>
      </c>
      <c r="P129" s="43">
        <f t="shared" si="82"/>
        <v>0</v>
      </c>
      <c r="Q129" s="55">
        <v>0</v>
      </c>
      <c r="R129" s="25">
        <f t="shared" si="73"/>
        <v>0</v>
      </c>
      <c r="S129" s="55">
        <v>0</v>
      </c>
      <c r="T129" s="56">
        <v>0</v>
      </c>
    </row>
    <row r="130" spans="1:20" ht="48" customHeight="1" x14ac:dyDescent="0.25">
      <c r="A130" s="92" t="s">
        <v>18</v>
      </c>
      <c r="B130" s="95" t="s">
        <v>88</v>
      </c>
      <c r="C130" s="95" t="s">
        <v>89</v>
      </c>
      <c r="D130" s="95" t="s">
        <v>93</v>
      </c>
      <c r="E130" s="95"/>
      <c r="F130" s="95"/>
      <c r="G130" s="12" t="s">
        <v>187</v>
      </c>
      <c r="H130" s="95" t="s">
        <v>5</v>
      </c>
      <c r="I130" s="96">
        <v>10</v>
      </c>
      <c r="J130" s="46">
        <f>J132+J133</f>
        <v>9450711273</v>
      </c>
      <c r="K130" s="46">
        <f t="shared" ref="K130:Q130" si="83">K132+K133</f>
        <v>0</v>
      </c>
      <c r="L130" s="46">
        <f t="shared" si="83"/>
        <v>0</v>
      </c>
      <c r="M130" s="46">
        <f t="shared" si="83"/>
        <v>9450711273</v>
      </c>
      <c r="N130" s="46">
        <f t="shared" si="83"/>
        <v>0</v>
      </c>
      <c r="O130" s="46">
        <f t="shared" si="83"/>
        <v>6605725002.6999998</v>
      </c>
      <c r="P130" s="46">
        <f t="shared" si="83"/>
        <v>2844986270.3000002</v>
      </c>
      <c r="Q130" s="97">
        <f t="shared" si="83"/>
        <v>3038602779.6999998</v>
      </c>
      <c r="R130" s="26">
        <f>IF(Q130&gt;1,Q130/(M130-N130),0)</f>
        <v>0.32152106777201717</v>
      </c>
      <c r="S130" s="97">
        <f t="shared" ref="S130:T130" si="84">S132+S133</f>
        <v>5364000</v>
      </c>
      <c r="T130" s="98">
        <f t="shared" si="84"/>
        <v>5364000</v>
      </c>
    </row>
    <row r="131" spans="1:20" ht="46.5" customHeight="1" x14ac:dyDescent="0.25">
      <c r="A131" s="92" t="s">
        <v>18</v>
      </c>
      <c r="B131" s="95" t="s">
        <v>88</v>
      </c>
      <c r="C131" s="95" t="s">
        <v>89</v>
      </c>
      <c r="D131" s="95" t="s">
        <v>93</v>
      </c>
      <c r="E131" s="95"/>
      <c r="F131" s="95"/>
      <c r="G131" s="113" t="s">
        <v>187</v>
      </c>
      <c r="H131" s="95" t="s">
        <v>5</v>
      </c>
      <c r="I131" s="96">
        <v>21</v>
      </c>
      <c r="J131" s="97">
        <f>J134</f>
        <v>315108465</v>
      </c>
      <c r="K131" s="97">
        <f t="shared" ref="K131:Q131" si="85">K134</f>
        <v>0</v>
      </c>
      <c r="L131" s="46">
        <f t="shared" si="85"/>
        <v>0</v>
      </c>
      <c r="M131" s="46">
        <f t="shared" si="85"/>
        <v>315108465</v>
      </c>
      <c r="N131" s="46">
        <f t="shared" si="85"/>
        <v>0</v>
      </c>
      <c r="O131" s="46">
        <f t="shared" si="85"/>
        <v>315108465</v>
      </c>
      <c r="P131" s="46">
        <f t="shared" si="85"/>
        <v>0</v>
      </c>
      <c r="Q131" s="97">
        <f t="shared" si="85"/>
        <v>315108465</v>
      </c>
      <c r="R131" s="26">
        <f>IF(Q131&gt;1,Q131/(M131-N131),0)</f>
        <v>1</v>
      </c>
      <c r="S131" s="97">
        <f t="shared" ref="S131:T131" si="86">S134</f>
        <v>0</v>
      </c>
      <c r="T131" s="98">
        <f t="shared" si="86"/>
        <v>0</v>
      </c>
    </row>
    <row r="132" spans="1:20" ht="46.5" customHeight="1" x14ac:dyDescent="0.25">
      <c r="A132" s="91" t="s">
        <v>18</v>
      </c>
      <c r="B132" s="53" t="s">
        <v>88</v>
      </c>
      <c r="C132" s="53" t="s">
        <v>89</v>
      </c>
      <c r="D132" s="53" t="s">
        <v>93</v>
      </c>
      <c r="E132" s="53" t="s">
        <v>204</v>
      </c>
      <c r="F132" s="53" t="s">
        <v>149</v>
      </c>
      <c r="G132" s="23" t="s">
        <v>167</v>
      </c>
      <c r="H132" s="53" t="s">
        <v>5</v>
      </c>
      <c r="I132" s="54">
        <v>10</v>
      </c>
      <c r="J132" s="55">
        <v>4548355034</v>
      </c>
      <c r="K132" s="55">
        <v>0</v>
      </c>
      <c r="L132" s="43"/>
      <c r="M132" s="43">
        <f>J132+K132-L132</f>
        <v>4548355034</v>
      </c>
      <c r="N132" s="43">
        <v>0</v>
      </c>
      <c r="O132" s="43">
        <v>4232442535</v>
      </c>
      <c r="P132" s="43">
        <f>+M132-O132-N132</f>
        <v>315912499</v>
      </c>
      <c r="Q132" s="55">
        <v>2624548535</v>
      </c>
      <c r="R132" s="25">
        <f t="shared" si="73"/>
        <v>0.57703246896535032</v>
      </c>
      <c r="S132" s="55"/>
      <c r="T132" s="56"/>
    </row>
    <row r="133" spans="1:20" ht="41.25" customHeight="1" x14ac:dyDescent="0.25">
      <c r="A133" s="91" t="s">
        <v>18</v>
      </c>
      <c r="B133" s="53" t="s">
        <v>88</v>
      </c>
      <c r="C133" s="53" t="s">
        <v>89</v>
      </c>
      <c r="D133" s="53" t="s">
        <v>93</v>
      </c>
      <c r="E133" s="53" t="s">
        <v>204</v>
      </c>
      <c r="F133" s="53" t="s">
        <v>150</v>
      </c>
      <c r="G133" s="23" t="s">
        <v>168</v>
      </c>
      <c r="H133" s="53" t="s">
        <v>5</v>
      </c>
      <c r="I133" s="54">
        <v>10</v>
      </c>
      <c r="J133" s="43">
        <v>4902356239</v>
      </c>
      <c r="K133" s="43"/>
      <c r="L133" s="43"/>
      <c r="M133" s="43">
        <f>J133+K133-L133</f>
        <v>4902356239</v>
      </c>
      <c r="N133" s="43">
        <v>0</v>
      </c>
      <c r="O133" s="43">
        <v>2373282467.6999998</v>
      </c>
      <c r="P133" s="43">
        <f>+M133-O133-N133</f>
        <v>2529073771.3000002</v>
      </c>
      <c r="Q133" s="55">
        <v>414054244.69999999</v>
      </c>
      <c r="R133" s="25">
        <f t="shared" si="73"/>
        <v>8.4460252277476319E-2</v>
      </c>
      <c r="S133" s="55">
        <v>5364000</v>
      </c>
      <c r="T133" s="56">
        <v>5364000</v>
      </c>
    </row>
    <row r="134" spans="1:20" ht="56.25" customHeight="1" x14ac:dyDescent="0.25">
      <c r="A134" s="91" t="s">
        <v>18</v>
      </c>
      <c r="B134" s="53" t="s">
        <v>88</v>
      </c>
      <c r="C134" s="53" t="s">
        <v>89</v>
      </c>
      <c r="D134" s="53" t="s">
        <v>93</v>
      </c>
      <c r="E134" s="53" t="s">
        <v>204</v>
      </c>
      <c r="F134" s="53" t="s">
        <v>149</v>
      </c>
      <c r="G134" s="23" t="s">
        <v>167</v>
      </c>
      <c r="H134" s="53" t="s">
        <v>8</v>
      </c>
      <c r="I134" s="54">
        <v>21</v>
      </c>
      <c r="J134" s="43">
        <v>315108465</v>
      </c>
      <c r="K134" s="43">
        <v>0</v>
      </c>
      <c r="L134" s="43"/>
      <c r="M134" s="43">
        <f t="shared" si="78"/>
        <v>315108465</v>
      </c>
      <c r="N134" s="43">
        <v>0</v>
      </c>
      <c r="O134" s="43">
        <v>315108465</v>
      </c>
      <c r="P134" s="43">
        <f t="shared" ref="P134" si="87">+M134-O134-N134</f>
        <v>0</v>
      </c>
      <c r="Q134" s="55">
        <v>315108465</v>
      </c>
      <c r="R134" s="25">
        <f>IF(Q134&gt;1,Q134/(M134-N134),0)</f>
        <v>1</v>
      </c>
      <c r="S134" s="111"/>
      <c r="T134" s="56"/>
    </row>
    <row r="135" spans="1:20" s="99" customFormat="1" ht="41.25" customHeight="1" x14ac:dyDescent="0.25">
      <c r="A135" s="92" t="s">
        <v>18</v>
      </c>
      <c r="B135" s="95" t="s">
        <v>88</v>
      </c>
      <c r="C135" s="95" t="s">
        <v>89</v>
      </c>
      <c r="D135" s="95" t="s">
        <v>94</v>
      </c>
      <c r="E135" s="95"/>
      <c r="F135" s="95"/>
      <c r="G135" s="113" t="s">
        <v>199</v>
      </c>
      <c r="H135" s="95" t="s">
        <v>5</v>
      </c>
      <c r="I135" s="96">
        <v>10</v>
      </c>
      <c r="J135" s="46">
        <f>J136+J137+J138</f>
        <v>1650642489</v>
      </c>
      <c r="K135" s="46">
        <f>K136+K137+K138</f>
        <v>0</v>
      </c>
      <c r="L135" s="46">
        <f t="shared" ref="L135:T135" si="88">L136+L137+L138</f>
        <v>0</v>
      </c>
      <c r="M135" s="46">
        <f t="shared" si="88"/>
        <v>1650642489</v>
      </c>
      <c r="N135" s="46">
        <f t="shared" si="88"/>
        <v>0</v>
      </c>
      <c r="O135" s="46">
        <f t="shared" si="88"/>
        <v>650000000</v>
      </c>
      <c r="P135" s="46">
        <f>P136+P137+P138</f>
        <v>1000642489</v>
      </c>
      <c r="Q135" s="97">
        <f t="shared" si="88"/>
        <v>0</v>
      </c>
      <c r="R135" s="26">
        <f t="shared" si="73"/>
        <v>0</v>
      </c>
      <c r="S135" s="97">
        <f t="shared" si="88"/>
        <v>0</v>
      </c>
      <c r="T135" s="98">
        <f t="shared" si="88"/>
        <v>0</v>
      </c>
    </row>
    <row r="136" spans="1:20" s="45" customFormat="1" ht="55.5" customHeight="1" x14ac:dyDescent="0.25">
      <c r="A136" s="91" t="s">
        <v>18</v>
      </c>
      <c r="B136" s="53" t="s">
        <v>88</v>
      </c>
      <c r="C136" s="53" t="s">
        <v>89</v>
      </c>
      <c r="D136" s="53" t="s">
        <v>94</v>
      </c>
      <c r="E136" s="53" t="s">
        <v>204</v>
      </c>
      <c r="F136" s="53" t="s">
        <v>151</v>
      </c>
      <c r="G136" s="23" t="s">
        <v>169</v>
      </c>
      <c r="H136" s="53" t="s">
        <v>5</v>
      </c>
      <c r="I136" s="54">
        <v>10</v>
      </c>
      <c r="J136" s="55">
        <v>530000000</v>
      </c>
      <c r="K136" s="43">
        <v>0</v>
      </c>
      <c r="L136" s="43"/>
      <c r="M136" s="43">
        <f t="shared" si="78"/>
        <v>530000000</v>
      </c>
      <c r="N136" s="109">
        <v>0</v>
      </c>
      <c r="O136" s="43">
        <v>450000000</v>
      </c>
      <c r="P136" s="43">
        <f t="shared" si="76"/>
        <v>80000000</v>
      </c>
      <c r="Q136" s="55">
        <v>0</v>
      </c>
      <c r="R136" s="25">
        <f t="shared" si="73"/>
        <v>0</v>
      </c>
      <c r="S136" s="55">
        <v>0</v>
      </c>
      <c r="T136" s="56">
        <v>0</v>
      </c>
    </row>
    <row r="137" spans="1:20" s="45" customFormat="1" ht="48" customHeight="1" x14ac:dyDescent="0.25">
      <c r="A137" s="91" t="s">
        <v>18</v>
      </c>
      <c r="B137" s="53" t="s">
        <v>88</v>
      </c>
      <c r="C137" s="53" t="s">
        <v>89</v>
      </c>
      <c r="D137" s="53" t="s">
        <v>94</v>
      </c>
      <c r="E137" s="53" t="s">
        <v>204</v>
      </c>
      <c r="F137" s="53" t="s">
        <v>152</v>
      </c>
      <c r="G137" s="23" t="s">
        <v>170</v>
      </c>
      <c r="H137" s="53" t="s">
        <v>5</v>
      </c>
      <c r="I137" s="54">
        <v>10</v>
      </c>
      <c r="J137" s="55">
        <v>920642489</v>
      </c>
      <c r="K137" s="43"/>
      <c r="L137" s="43"/>
      <c r="M137" s="43">
        <f t="shared" si="78"/>
        <v>920642489</v>
      </c>
      <c r="N137" s="109">
        <v>0</v>
      </c>
      <c r="O137" s="43">
        <v>0</v>
      </c>
      <c r="P137" s="43">
        <f t="shared" ref="P137:P138" si="89">+M137-O137-N137</f>
        <v>920642489</v>
      </c>
      <c r="Q137" s="55">
        <v>0</v>
      </c>
      <c r="R137" s="25">
        <f t="shared" si="73"/>
        <v>0</v>
      </c>
      <c r="S137" s="55"/>
      <c r="T137" s="56"/>
    </row>
    <row r="138" spans="1:20" s="45" customFormat="1" ht="42.75" customHeight="1" x14ac:dyDescent="0.25">
      <c r="A138" s="91" t="s">
        <v>18</v>
      </c>
      <c r="B138" s="53" t="s">
        <v>88</v>
      </c>
      <c r="C138" s="53" t="s">
        <v>89</v>
      </c>
      <c r="D138" s="53" t="s">
        <v>94</v>
      </c>
      <c r="E138" s="53" t="s">
        <v>204</v>
      </c>
      <c r="F138" s="53" t="s">
        <v>153</v>
      </c>
      <c r="G138" s="23" t="s">
        <v>171</v>
      </c>
      <c r="H138" s="53" t="s">
        <v>5</v>
      </c>
      <c r="I138" s="54">
        <v>10</v>
      </c>
      <c r="J138" s="55">
        <v>200000000</v>
      </c>
      <c r="K138" s="43">
        <v>0</v>
      </c>
      <c r="L138" s="43"/>
      <c r="M138" s="43">
        <f t="shared" si="78"/>
        <v>200000000</v>
      </c>
      <c r="N138" s="109">
        <v>0</v>
      </c>
      <c r="O138" s="43">
        <v>200000000</v>
      </c>
      <c r="P138" s="43">
        <f t="shared" si="89"/>
        <v>0</v>
      </c>
      <c r="Q138" s="55">
        <v>0</v>
      </c>
      <c r="R138" s="25">
        <f t="shared" si="73"/>
        <v>0</v>
      </c>
      <c r="S138" s="55">
        <v>0</v>
      </c>
      <c r="T138" s="56">
        <v>0</v>
      </c>
    </row>
    <row r="139" spans="1:20" s="45" customFormat="1" ht="42.75" customHeight="1" x14ac:dyDescent="0.25">
      <c r="A139" s="92" t="s">
        <v>18</v>
      </c>
      <c r="B139" s="95" t="s">
        <v>88</v>
      </c>
      <c r="C139" s="95" t="s">
        <v>89</v>
      </c>
      <c r="D139" s="95">
        <v>16</v>
      </c>
      <c r="E139" s="95"/>
      <c r="F139" s="95"/>
      <c r="G139" s="12" t="s">
        <v>188</v>
      </c>
      <c r="H139" s="95" t="s">
        <v>5</v>
      </c>
      <c r="I139" s="96">
        <v>10</v>
      </c>
      <c r="J139" s="97">
        <f>J140+J141+J142+J143</f>
        <v>13925332736</v>
      </c>
      <c r="K139" s="46">
        <f t="shared" ref="K139:T139" si="90">K140+K141+K142+K143</f>
        <v>0</v>
      </c>
      <c r="L139" s="46">
        <f t="shared" si="90"/>
        <v>0</v>
      </c>
      <c r="M139" s="46">
        <f>M140+M141+M142+M143</f>
        <v>13925332736</v>
      </c>
      <c r="N139" s="46">
        <f t="shared" si="90"/>
        <v>0</v>
      </c>
      <c r="O139" s="46">
        <f t="shared" si="90"/>
        <v>11076372393.58</v>
      </c>
      <c r="P139" s="46">
        <f>P140+P141+P142+P143</f>
        <v>2848960342.4200001</v>
      </c>
      <c r="Q139" s="97">
        <f t="shared" si="90"/>
        <v>3724158207.5799999</v>
      </c>
      <c r="R139" s="26">
        <f t="shared" si="73"/>
        <v>0.26743764606444514</v>
      </c>
      <c r="S139" s="97">
        <f t="shared" si="90"/>
        <v>0</v>
      </c>
      <c r="T139" s="98">
        <f t="shared" si="90"/>
        <v>0</v>
      </c>
    </row>
    <row r="140" spans="1:20" s="45" customFormat="1" ht="56.25" customHeight="1" x14ac:dyDescent="0.25">
      <c r="A140" s="91" t="s">
        <v>18</v>
      </c>
      <c r="B140" s="53" t="s">
        <v>88</v>
      </c>
      <c r="C140" s="53" t="s">
        <v>89</v>
      </c>
      <c r="D140" s="53">
        <v>16</v>
      </c>
      <c r="E140" s="53" t="s">
        <v>206</v>
      </c>
      <c r="F140" s="53" t="s">
        <v>142</v>
      </c>
      <c r="G140" s="23" t="s">
        <v>172</v>
      </c>
      <c r="H140" s="53" t="s">
        <v>5</v>
      </c>
      <c r="I140" s="54">
        <v>10</v>
      </c>
      <c r="J140" s="55">
        <v>5379741440</v>
      </c>
      <c r="K140" s="43">
        <v>0</v>
      </c>
      <c r="L140" s="43"/>
      <c r="M140" s="43">
        <f t="shared" si="78"/>
        <v>5379741440</v>
      </c>
      <c r="N140" s="43">
        <v>0</v>
      </c>
      <c r="O140" s="43">
        <v>3129040900</v>
      </c>
      <c r="P140" s="43">
        <f t="shared" si="76"/>
        <v>2250700540</v>
      </c>
      <c r="Q140" s="55">
        <v>0</v>
      </c>
      <c r="R140" s="25">
        <f t="shared" si="73"/>
        <v>0</v>
      </c>
      <c r="S140" s="55"/>
      <c r="T140" s="56"/>
    </row>
    <row r="141" spans="1:20" s="45" customFormat="1" ht="48.75" customHeight="1" x14ac:dyDescent="0.25">
      <c r="A141" s="91" t="s">
        <v>18</v>
      </c>
      <c r="B141" s="53" t="s">
        <v>88</v>
      </c>
      <c r="C141" s="53" t="s">
        <v>89</v>
      </c>
      <c r="D141" s="53">
        <v>16</v>
      </c>
      <c r="E141" s="53" t="s">
        <v>206</v>
      </c>
      <c r="F141" s="53" t="s">
        <v>141</v>
      </c>
      <c r="G141" s="23" t="s">
        <v>173</v>
      </c>
      <c r="H141" s="53" t="s">
        <v>5</v>
      </c>
      <c r="I141" s="54">
        <v>10</v>
      </c>
      <c r="J141" s="55">
        <v>6102635520</v>
      </c>
      <c r="K141" s="43">
        <v>0</v>
      </c>
      <c r="L141" s="43"/>
      <c r="M141" s="43">
        <f t="shared" si="78"/>
        <v>6102635520</v>
      </c>
      <c r="N141" s="109">
        <v>0</v>
      </c>
      <c r="O141" s="43">
        <v>6102635520</v>
      </c>
      <c r="P141" s="43">
        <f t="shared" ref="P141:P142" si="91">+M141-O141-N141</f>
        <v>0</v>
      </c>
      <c r="Q141" s="55">
        <v>3477088221</v>
      </c>
      <c r="R141" s="25">
        <f t="shared" si="73"/>
        <v>0.56976829266710005</v>
      </c>
      <c r="S141" s="55"/>
      <c r="T141" s="56"/>
    </row>
    <row r="142" spans="1:20" s="45" customFormat="1" ht="54" customHeight="1" x14ac:dyDescent="0.25">
      <c r="A142" s="91" t="s">
        <v>18</v>
      </c>
      <c r="B142" s="53" t="s">
        <v>88</v>
      </c>
      <c r="C142" s="53" t="s">
        <v>89</v>
      </c>
      <c r="D142" s="53">
        <v>16</v>
      </c>
      <c r="E142" s="53" t="s">
        <v>206</v>
      </c>
      <c r="F142" s="53" t="s">
        <v>147</v>
      </c>
      <c r="G142" s="23" t="s">
        <v>174</v>
      </c>
      <c r="H142" s="53" t="s">
        <v>5</v>
      </c>
      <c r="I142" s="54">
        <v>10</v>
      </c>
      <c r="J142" s="55">
        <v>2374790656</v>
      </c>
      <c r="K142" s="43">
        <v>0</v>
      </c>
      <c r="L142" s="43"/>
      <c r="M142" s="43">
        <f t="shared" si="78"/>
        <v>2374790656</v>
      </c>
      <c r="N142" s="43">
        <v>0</v>
      </c>
      <c r="O142" s="43">
        <v>1776530853.5799999</v>
      </c>
      <c r="P142" s="43">
        <f t="shared" si="91"/>
        <v>598259802.42000008</v>
      </c>
      <c r="Q142" s="55">
        <v>247069986.58000001</v>
      </c>
      <c r="R142" s="25">
        <f t="shared" si="73"/>
        <v>0.10403863850304791</v>
      </c>
      <c r="S142" s="55"/>
      <c r="T142" s="56"/>
    </row>
    <row r="143" spans="1:20" s="45" customFormat="1" ht="56.25" customHeight="1" x14ac:dyDescent="0.25">
      <c r="A143" s="91" t="s">
        <v>18</v>
      </c>
      <c r="B143" s="53" t="s">
        <v>88</v>
      </c>
      <c r="C143" s="53" t="s">
        <v>89</v>
      </c>
      <c r="D143" s="53">
        <v>16</v>
      </c>
      <c r="E143" s="53" t="s">
        <v>206</v>
      </c>
      <c r="F143" s="53" t="s">
        <v>145</v>
      </c>
      <c r="G143" s="23" t="s">
        <v>175</v>
      </c>
      <c r="H143" s="53" t="s">
        <v>5</v>
      </c>
      <c r="I143" s="54">
        <v>10</v>
      </c>
      <c r="J143" s="55">
        <v>68165120</v>
      </c>
      <c r="K143" s="43">
        <v>0</v>
      </c>
      <c r="L143" s="43"/>
      <c r="M143" s="43">
        <f t="shared" si="78"/>
        <v>68165120</v>
      </c>
      <c r="N143" s="109">
        <v>0</v>
      </c>
      <c r="O143" s="43">
        <v>68165120</v>
      </c>
      <c r="P143" s="110">
        <f>+M143-O143-N143</f>
        <v>0</v>
      </c>
      <c r="Q143" s="55">
        <v>0</v>
      </c>
      <c r="R143" s="25">
        <f t="shared" si="73"/>
        <v>0</v>
      </c>
      <c r="S143" s="55"/>
      <c r="T143" s="56"/>
    </row>
    <row r="144" spans="1:20" ht="31.5" customHeight="1" x14ac:dyDescent="0.25">
      <c r="A144" s="92" t="s">
        <v>18</v>
      </c>
      <c r="B144" s="11">
        <v>2999</v>
      </c>
      <c r="C144" s="11"/>
      <c r="D144" s="11"/>
      <c r="E144" s="11"/>
      <c r="F144" s="11"/>
      <c r="G144" s="12" t="s">
        <v>212</v>
      </c>
      <c r="H144" s="11" t="s">
        <v>5</v>
      </c>
      <c r="I144" s="13">
        <v>10</v>
      </c>
      <c r="J144" s="14">
        <f>J145</f>
        <v>79850728985</v>
      </c>
      <c r="K144" s="14">
        <f t="shared" ref="K144:Q144" si="92">K145</f>
        <v>0</v>
      </c>
      <c r="L144" s="24">
        <f t="shared" si="92"/>
        <v>0</v>
      </c>
      <c r="M144" s="46">
        <f t="shared" si="92"/>
        <v>79850728985</v>
      </c>
      <c r="N144" s="24">
        <f t="shared" si="92"/>
        <v>0</v>
      </c>
      <c r="O144" s="24">
        <f t="shared" si="92"/>
        <v>47750597003.809998</v>
      </c>
      <c r="P144" s="24">
        <f t="shared" si="92"/>
        <v>32100131981.190002</v>
      </c>
      <c r="Q144" s="14">
        <f t="shared" si="92"/>
        <v>21281884348.809998</v>
      </c>
      <c r="R144" s="26">
        <f t="shared" si="73"/>
        <v>0.26652085233696249</v>
      </c>
      <c r="S144" s="14">
        <f t="shared" ref="S144:T144" si="93">S145</f>
        <v>1417553897.8099999</v>
      </c>
      <c r="T144" s="22">
        <f t="shared" si="93"/>
        <v>1356945715.9100001</v>
      </c>
    </row>
    <row r="145" spans="1:20" ht="31.5" customHeight="1" x14ac:dyDescent="0.25">
      <c r="A145" s="92" t="s">
        <v>18</v>
      </c>
      <c r="B145" s="11" t="s">
        <v>95</v>
      </c>
      <c r="C145" s="11" t="s">
        <v>89</v>
      </c>
      <c r="D145" s="11"/>
      <c r="E145" s="11"/>
      <c r="F145" s="11"/>
      <c r="G145" s="12" t="s">
        <v>194</v>
      </c>
      <c r="H145" s="11" t="s">
        <v>5</v>
      </c>
      <c r="I145" s="13">
        <v>10</v>
      </c>
      <c r="J145" s="14">
        <f>J146+J148+J151+J154+J157+J160+J163</f>
        <v>79850728985</v>
      </c>
      <c r="K145" s="14">
        <f t="shared" ref="K145:Q145" si="94">K146+K148+K151+K154+K157+K160+K163</f>
        <v>0</v>
      </c>
      <c r="L145" s="24">
        <f t="shared" si="94"/>
        <v>0</v>
      </c>
      <c r="M145" s="46">
        <f t="shared" si="94"/>
        <v>79850728985</v>
      </c>
      <c r="N145" s="24">
        <f t="shared" si="94"/>
        <v>0</v>
      </c>
      <c r="O145" s="24">
        <f t="shared" si="94"/>
        <v>47750597003.809998</v>
      </c>
      <c r="P145" s="24">
        <f t="shared" si="94"/>
        <v>32100131981.190002</v>
      </c>
      <c r="Q145" s="14">
        <f t="shared" si="94"/>
        <v>21281884348.809998</v>
      </c>
      <c r="R145" s="26">
        <f t="shared" si="73"/>
        <v>0.26652085233696249</v>
      </c>
      <c r="S145" s="14">
        <f t="shared" ref="S145:T145" si="95">S146+S148+S151+S154+S157+S160+S163</f>
        <v>1417553897.8099999</v>
      </c>
      <c r="T145" s="22">
        <f t="shared" si="95"/>
        <v>1356945715.9100001</v>
      </c>
    </row>
    <row r="146" spans="1:20" ht="31.5" customHeight="1" x14ac:dyDescent="0.25">
      <c r="A146" s="92" t="s">
        <v>18</v>
      </c>
      <c r="B146" s="11" t="s">
        <v>95</v>
      </c>
      <c r="C146" s="95" t="s">
        <v>89</v>
      </c>
      <c r="D146" s="95" t="s">
        <v>92</v>
      </c>
      <c r="E146" s="11"/>
      <c r="F146" s="11"/>
      <c r="G146" s="12" t="s">
        <v>189</v>
      </c>
      <c r="H146" s="95" t="s">
        <v>5</v>
      </c>
      <c r="I146" s="96">
        <v>10</v>
      </c>
      <c r="J146" s="14">
        <f>J147</f>
        <v>500000000</v>
      </c>
      <c r="K146" s="24">
        <f t="shared" ref="K146:T146" si="96">K147</f>
        <v>0</v>
      </c>
      <c r="L146" s="24">
        <f t="shared" si="96"/>
        <v>0</v>
      </c>
      <c r="M146" s="46">
        <f t="shared" si="96"/>
        <v>500000000</v>
      </c>
      <c r="N146" s="24">
        <f t="shared" si="96"/>
        <v>0</v>
      </c>
      <c r="O146" s="24">
        <f>O147</f>
        <v>0</v>
      </c>
      <c r="P146" s="24">
        <f>P147</f>
        <v>500000000</v>
      </c>
      <c r="Q146" s="14">
        <f t="shared" si="96"/>
        <v>0</v>
      </c>
      <c r="R146" s="26">
        <f t="shared" si="73"/>
        <v>0</v>
      </c>
      <c r="S146" s="14">
        <f t="shared" si="96"/>
        <v>0</v>
      </c>
      <c r="T146" s="22">
        <f t="shared" si="96"/>
        <v>0</v>
      </c>
    </row>
    <row r="147" spans="1:20" ht="42.75" customHeight="1" x14ac:dyDescent="0.25">
      <c r="A147" s="91" t="s">
        <v>18</v>
      </c>
      <c r="B147" s="7" t="s">
        <v>95</v>
      </c>
      <c r="C147" s="53" t="s">
        <v>89</v>
      </c>
      <c r="D147" s="53" t="s">
        <v>92</v>
      </c>
      <c r="E147" s="53" t="s">
        <v>207</v>
      </c>
      <c r="F147" s="53" t="s">
        <v>156</v>
      </c>
      <c r="G147" s="23" t="s">
        <v>176</v>
      </c>
      <c r="H147" s="53" t="s">
        <v>5</v>
      </c>
      <c r="I147" s="54">
        <v>10</v>
      </c>
      <c r="J147" s="43">
        <v>500000000</v>
      </c>
      <c r="K147" s="43">
        <v>0</v>
      </c>
      <c r="L147" s="43">
        <v>0</v>
      </c>
      <c r="M147" s="43">
        <f t="shared" ref="M147:M164" si="97">J147+K147-L147</f>
        <v>500000000</v>
      </c>
      <c r="N147" s="43">
        <v>0</v>
      </c>
      <c r="O147" s="43">
        <v>0</v>
      </c>
      <c r="P147" s="27">
        <f t="shared" ref="P147:P156" si="98">+M147-O147-N147</f>
        <v>500000000</v>
      </c>
      <c r="Q147" s="55">
        <v>0</v>
      </c>
      <c r="R147" s="25">
        <f t="shared" si="73"/>
        <v>0</v>
      </c>
      <c r="S147" s="55">
        <v>0</v>
      </c>
      <c r="T147" s="56">
        <v>0</v>
      </c>
    </row>
    <row r="148" spans="1:20" ht="48" customHeight="1" x14ac:dyDescent="0.25">
      <c r="A148" s="92" t="s">
        <v>18</v>
      </c>
      <c r="B148" s="95" t="s">
        <v>95</v>
      </c>
      <c r="C148" s="95" t="s">
        <v>89</v>
      </c>
      <c r="D148" s="95" t="s">
        <v>93</v>
      </c>
      <c r="E148" s="95"/>
      <c r="F148" s="95"/>
      <c r="G148" s="12" t="s">
        <v>190</v>
      </c>
      <c r="H148" s="95" t="s">
        <v>5</v>
      </c>
      <c r="I148" s="96">
        <v>10</v>
      </c>
      <c r="J148" s="46">
        <f>J149+J150</f>
        <v>28926585682</v>
      </c>
      <c r="K148" s="46">
        <f t="shared" ref="K148:T148" si="99">K149+K150</f>
        <v>0</v>
      </c>
      <c r="L148" s="46">
        <f t="shared" si="99"/>
        <v>0</v>
      </c>
      <c r="M148" s="46">
        <f t="shared" si="99"/>
        <v>28926585682</v>
      </c>
      <c r="N148" s="46">
        <f t="shared" si="99"/>
        <v>0</v>
      </c>
      <c r="O148" s="46">
        <f>O149+O150</f>
        <v>13012670190</v>
      </c>
      <c r="P148" s="24">
        <f>P149+P150</f>
        <v>15913915492</v>
      </c>
      <c r="Q148" s="97">
        <f>Q149+Q150</f>
        <v>5866604659</v>
      </c>
      <c r="R148" s="26">
        <f t="shared" si="73"/>
        <v>0.20281013194898362</v>
      </c>
      <c r="S148" s="97">
        <f t="shared" si="99"/>
        <v>1388032080</v>
      </c>
      <c r="T148" s="98">
        <f t="shared" si="99"/>
        <v>1348297980</v>
      </c>
    </row>
    <row r="149" spans="1:20" ht="54.75" customHeight="1" x14ac:dyDescent="0.25">
      <c r="A149" s="91" t="s">
        <v>18</v>
      </c>
      <c r="B149" s="53" t="s">
        <v>95</v>
      </c>
      <c r="C149" s="53" t="s">
        <v>89</v>
      </c>
      <c r="D149" s="53" t="s">
        <v>93</v>
      </c>
      <c r="E149" s="53" t="s">
        <v>207</v>
      </c>
      <c r="F149" s="53" t="s">
        <v>154</v>
      </c>
      <c r="G149" s="23" t="s">
        <v>177</v>
      </c>
      <c r="H149" s="53" t="s">
        <v>5</v>
      </c>
      <c r="I149" s="54">
        <v>10</v>
      </c>
      <c r="J149" s="55">
        <v>3237138468</v>
      </c>
      <c r="K149" s="43">
        <v>0</v>
      </c>
      <c r="L149" s="43">
        <v>0</v>
      </c>
      <c r="M149" s="43">
        <f t="shared" si="97"/>
        <v>3237138468</v>
      </c>
      <c r="N149" s="43">
        <v>0</v>
      </c>
      <c r="O149" s="43">
        <v>83178825</v>
      </c>
      <c r="P149" s="27">
        <f t="shared" si="98"/>
        <v>3153959643</v>
      </c>
      <c r="Q149" s="55">
        <v>83178825</v>
      </c>
      <c r="R149" s="25">
        <f t="shared" si="73"/>
        <v>2.5695170540971743E-2</v>
      </c>
      <c r="S149" s="55">
        <v>24953648</v>
      </c>
      <c r="T149" s="56">
        <v>24953648</v>
      </c>
    </row>
    <row r="150" spans="1:20" ht="47.25" customHeight="1" x14ac:dyDescent="0.25">
      <c r="A150" s="91" t="s">
        <v>18</v>
      </c>
      <c r="B150" s="53" t="s">
        <v>95</v>
      </c>
      <c r="C150" s="53" t="s">
        <v>89</v>
      </c>
      <c r="D150" s="53" t="s">
        <v>93</v>
      </c>
      <c r="E150" s="53" t="s">
        <v>207</v>
      </c>
      <c r="F150" s="53" t="s">
        <v>155</v>
      </c>
      <c r="G150" s="23" t="s">
        <v>178</v>
      </c>
      <c r="H150" s="53" t="s">
        <v>5</v>
      </c>
      <c r="I150" s="54">
        <v>10</v>
      </c>
      <c r="J150" s="55">
        <v>25689447214</v>
      </c>
      <c r="K150" s="43">
        <v>0</v>
      </c>
      <c r="L150" s="43">
        <v>0</v>
      </c>
      <c r="M150" s="43">
        <f t="shared" si="97"/>
        <v>25689447214</v>
      </c>
      <c r="N150" s="43">
        <v>0</v>
      </c>
      <c r="O150" s="43">
        <v>12929491365</v>
      </c>
      <c r="P150" s="27">
        <f t="shared" ref="P150" si="100">+M150-O150-N150</f>
        <v>12759955849</v>
      </c>
      <c r="Q150" s="55">
        <v>5783425834</v>
      </c>
      <c r="R150" s="25">
        <f t="shared" si="73"/>
        <v>0.22512846562335531</v>
      </c>
      <c r="S150" s="56">
        <v>1363078432</v>
      </c>
      <c r="T150" s="56">
        <v>1323344332</v>
      </c>
    </row>
    <row r="151" spans="1:20" ht="47.25" customHeight="1" x14ac:dyDescent="0.25">
      <c r="A151" s="92" t="s">
        <v>18</v>
      </c>
      <c r="B151" s="95" t="s">
        <v>95</v>
      </c>
      <c r="C151" s="95" t="s">
        <v>89</v>
      </c>
      <c r="D151" s="95" t="s">
        <v>94</v>
      </c>
      <c r="E151" s="95"/>
      <c r="F151" s="95"/>
      <c r="G151" s="12" t="s">
        <v>191</v>
      </c>
      <c r="H151" s="95" t="s">
        <v>5</v>
      </c>
      <c r="I151" s="96">
        <v>10</v>
      </c>
      <c r="J151" s="97">
        <f>J152+J153</f>
        <v>6971059200</v>
      </c>
      <c r="K151" s="46">
        <f t="shared" ref="K151:T151" si="101">K152+K153</f>
        <v>0</v>
      </c>
      <c r="L151" s="46">
        <f t="shared" si="101"/>
        <v>0</v>
      </c>
      <c r="M151" s="46">
        <f t="shared" si="101"/>
        <v>6971059200</v>
      </c>
      <c r="N151" s="46">
        <f t="shared" si="101"/>
        <v>0</v>
      </c>
      <c r="O151" s="46">
        <f>O152+O153</f>
        <v>5800456110</v>
      </c>
      <c r="P151" s="24">
        <f>P152+P153</f>
        <v>1170603090</v>
      </c>
      <c r="Q151" s="97">
        <f t="shared" si="101"/>
        <v>4469078665</v>
      </c>
      <c r="R151" s="26">
        <f t="shared" si="73"/>
        <v>0.64109033315912733</v>
      </c>
      <c r="S151" s="97">
        <f t="shared" si="101"/>
        <v>0</v>
      </c>
      <c r="T151" s="98">
        <f t="shared" si="101"/>
        <v>0</v>
      </c>
    </row>
    <row r="152" spans="1:20" ht="41.25" customHeight="1" x14ac:dyDescent="0.25">
      <c r="A152" s="91" t="s">
        <v>18</v>
      </c>
      <c r="B152" s="53" t="s">
        <v>95</v>
      </c>
      <c r="C152" s="53" t="s">
        <v>89</v>
      </c>
      <c r="D152" s="53" t="s">
        <v>94</v>
      </c>
      <c r="E152" s="53" t="s">
        <v>207</v>
      </c>
      <c r="F152" s="53" t="s">
        <v>157</v>
      </c>
      <c r="G152" s="23" t="s">
        <v>179</v>
      </c>
      <c r="H152" s="53" t="s">
        <v>5</v>
      </c>
      <c r="I152" s="54">
        <v>10</v>
      </c>
      <c r="J152" s="55">
        <v>1313633024</v>
      </c>
      <c r="K152" s="43">
        <v>0</v>
      </c>
      <c r="L152" s="43">
        <v>0</v>
      </c>
      <c r="M152" s="43">
        <f t="shared" si="97"/>
        <v>1313633024</v>
      </c>
      <c r="N152" s="43">
        <v>0</v>
      </c>
      <c r="O152" s="43">
        <v>685131125</v>
      </c>
      <c r="P152" s="27">
        <f t="shared" si="98"/>
        <v>628501899</v>
      </c>
      <c r="Q152" s="55">
        <v>34825945</v>
      </c>
      <c r="R152" s="25">
        <f t="shared" si="73"/>
        <v>2.6511167398909727E-2</v>
      </c>
      <c r="S152" s="55"/>
      <c r="T152" s="56"/>
    </row>
    <row r="153" spans="1:20" ht="47.25" customHeight="1" x14ac:dyDescent="0.25">
      <c r="A153" s="91" t="s">
        <v>18</v>
      </c>
      <c r="B153" s="53" t="s">
        <v>95</v>
      </c>
      <c r="C153" s="53" t="s">
        <v>89</v>
      </c>
      <c r="D153" s="53" t="s">
        <v>94</v>
      </c>
      <c r="E153" s="53" t="s">
        <v>207</v>
      </c>
      <c r="F153" s="53" t="s">
        <v>155</v>
      </c>
      <c r="G153" s="23" t="s">
        <v>180</v>
      </c>
      <c r="H153" s="53" t="s">
        <v>5</v>
      </c>
      <c r="I153" s="54">
        <v>10</v>
      </c>
      <c r="J153" s="55">
        <v>5657426176</v>
      </c>
      <c r="K153" s="43">
        <v>0</v>
      </c>
      <c r="L153" s="43">
        <v>0</v>
      </c>
      <c r="M153" s="43">
        <f t="shared" si="97"/>
        <v>5657426176</v>
      </c>
      <c r="N153" s="43">
        <v>0</v>
      </c>
      <c r="O153" s="43">
        <v>5115324985</v>
      </c>
      <c r="P153" s="27">
        <f t="shared" ref="P153" si="102">+M153-O153-N153</f>
        <v>542101191</v>
      </c>
      <c r="Q153" s="55">
        <v>4434252720</v>
      </c>
      <c r="R153" s="25">
        <f t="shared" si="73"/>
        <v>0.78379329788005703</v>
      </c>
      <c r="S153" s="55"/>
      <c r="T153" s="56"/>
    </row>
    <row r="154" spans="1:20" s="99" customFormat="1" ht="32.25" customHeight="1" x14ac:dyDescent="0.25">
      <c r="A154" s="92" t="s">
        <v>18</v>
      </c>
      <c r="B154" s="95" t="s">
        <v>95</v>
      </c>
      <c r="C154" s="95" t="s">
        <v>89</v>
      </c>
      <c r="D154" s="95" t="s">
        <v>96</v>
      </c>
      <c r="E154" s="95"/>
      <c r="F154" s="95"/>
      <c r="G154" s="12" t="s">
        <v>192</v>
      </c>
      <c r="H154" s="95" t="s">
        <v>5</v>
      </c>
      <c r="I154" s="96">
        <v>10</v>
      </c>
      <c r="J154" s="97">
        <f>J156+J155</f>
        <v>1600000000</v>
      </c>
      <c r="K154" s="46">
        <f t="shared" ref="K154:N154" si="103">K156+K155</f>
        <v>0</v>
      </c>
      <c r="L154" s="46">
        <f t="shared" si="103"/>
        <v>0</v>
      </c>
      <c r="M154" s="46">
        <f t="shared" si="103"/>
        <v>1600000000</v>
      </c>
      <c r="N154" s="46">
        <f t="shared" si="103"/>
        <v>0</v>
      </c>
      <c r="O154" s="46">
        <f>O156+O155</f>
        <v>1599703709</v>
      </c>
      <c r="P154" s="24">
        <f t="shared" ref="P154" si="104">P156+P155</f>
        <v>296291</v>
      </c>
      <c r="Q154" s="97">
        <f>Q156+Q155</f>
        <v>261735567</v>
      </c>
      <c r="R154" s="26">
        <f t="shared" si="73"/>
        <v>0.16358472937499999</v>
      </c>
      <c r="S154" s="97">
        <f t="shared" ref="S154:T154" si="105">S156+S155</f>
        <v>0</v>
      </c>
      <c r="T154" s="98">
        <f t="shared" si="105"/>
        <v>0</v>
      </c>
    </row>
    <row r="155" spans="1:20" s="99" customFormat="1" ht="42.75" customHeight="1" x14ac:dyDescent="0.25">
      <c r="A155" s="91" t="s">
        <v>18</v>
      </c>
      <c r="B155" s="53" t="s">
        <v>95</v>
      </c>
      <c r="C155" s="53" t="s">
        <v>89</v>
      </c>
      <c r="D155" s="53" t="s">
        <v>96</v>
      </c>
      <c r="E155" s="53" t="s">
        <v>207</v>
      </c>
      <c r="F155" s="53">
        <v>2999011</v>
      </c>
      <c r="G155" s="23" t="s">
        <v>215</v>
      </c>
      <c r="H155" s="53" t="s">
        <v>5</v>
      </c>
      <c r="I155" s="54">
        <v>10</v>
      </c>
      <c r="J155" s="55">
        <v>149904000</v>
      </c>
      <c r="K155" s="43">
        <v>0</v>
      </c>
      <c r="L155" s="43">
        <v>0</v>
      </c>
      <c r="M155" s="43">
        <f t="shared" ref="M155" si="106">J155+K155-L155</f>
        <v>149904000</v>
      </c>
      <c r="N155" s="43"/>
      <c r="O155" s="43">
        <v>149904000</v>
      </c>
      <c r="P155" s="27">
        <f t="shared" ref="P155" si="107">+M155-O155-N155</f>
        <v>0</v>
      </c>
      <c r="Q155" s="55">
        <v>0</v>
      </c>
      <c r="R155" s="25">
        <f t="shared" ref="R155" si="108">IF(Q155&gt;1,Q155/(M155-N155),0)</f>
        <v>0</v>
      </c>
      <c r="S155" s="55"/>
      <c r="T155" s="56"/>
    </row>
    <row r="156" spans="1:20" ht="46.5" customHeight="1" x14ac:dyDescent="0.25">
      <c r="A156" s="91" t="s">
        <v>18</v>
      </c>
      <c r="B156" s="53" t="s">
        <v>95</v>
      </c>
      <c r="C156" s="53" t="s">
        <v>89</v>
      </c>
      <c r="D156" s="53" t="s">
        <v>96</v>
      </c>
      <c r="E156" s="53" t="s">
        <v>207</v>
      </c>
      <c r="F156" s="53" t="s">
        <v>157</v>
      </c>
      <c r="G156" s="23" t="s">
        <v>181</v>
      </c>
      <c r="H156" s="53" t="s">
        <v>5</v>
      </c>
      <c r="I156" s="54">
        <v>10</v>
      </c>
      <c r="J156" s="55">
        <v>1450096000</v>
      </c>
      <c r="K156" s="43">
        <v>0</v>
      </c>
      <c r="L156" s="43">
        <v>0</v>
      </c>
      <c r="M156" s="43">
        <f t="shared" si="97"/>
        <v>1450096000</v>
      </c>
      <c r="N156" s="109"/>
      <c r="O156" s="43">
        <v>1449799709</v>
      </c>
      <c r="P156" s="27">
        <f t="shared" si="98"/>
        <v>296291</v>
      </c>
      <c r="Q156" s="55">
        <v>261735567</v>
      </c>
      <c r="R156" s="25">
        <f t="shared" si="73"/>
        <v>0.18049533755006564</v>
      </c>
      <c r="S156" s="55"/>
      <c r="T156" s="56"/>
    </row>
    <row r="157" spans="1:20" ht="42" customHeight="1" x14ac:dyDescent="0.25">
      <c r="A157" s="92" t="s">
        <v>18</v>
      </c>
      <c r="B157" s="95" t="s">
        <v>95</v>
      </c>
      <c r="C157" s="11" t="s">
        <v>89</v>
      </c>
      <c r="D157" s="11" t="s">
        <v>97</v>
      </c>
      <c r="E157" s="11"/>
      <c r="F157" s="11"/>
      <c r="G157" s="12" t="s">
        <v>193</v>
      </c>
      <c r="H157" s="11" t="s">
        <v>5</v>
      </c>
      <c r="I157" s="13">
        <v>10</v>
      </c>
      <c r="J157" s="14">
        <f>J158+J159</f>
        <v>770705920</v>
      </c>
      <c r="K157" s="24">
        <f>K158+K159</f>
        <v>0</v>
      </c>
      <c r="L157" s="112">
        <f>L158+L159</f>
        <v>0</v>
      </c>
      <c r="M157" s="46">
        <f>M158+M159</f>
        <v>770705920</v>
      </c>
      <c r="N157" s="24">
        <f>N158+N159</f>
        <v>0</v>
      </c>
      <c r="O157" s="24">
        <f t="shared" ref="O157:T157" si="109">O158+O159</f>
        <v>628523663</v>
      </c>
      <c r="P157" s="24">
        <f>P158+P159</f>
        <v>142182257</v>
      </c>
      <c r="Q157" s="14">
        <f t="shared" si="109"/>
        <v>94722126</v>
      </c>
      <c r="R157" s="26">
        <f t="shared" si="73"/>
        <v>0.12290307306838905</v>
      </c>
      <c r="S157" s="14">
        <f>S158+S159</f>
        <v>11640891</v>
      </c>
      <c r="T157" s="22">
        <f t="shared" si="109"/>
        <v>8647446</v>
      </c>
    </row>
    <row r="158" spans="1:20" ht="45.75" customHeight="1" x14ac:dyDescent="0.25">
      <c r="A158" s="91" t="s">
        <v>18</v>
      </c>
      <c r="B158" s="53" t="s">
        <v>95</v>
      </c>
      <c r="C158" s="7" t="s">
        <v>89</v>
      </c>
      <c r="D158" s="7" t="s">
        <v>97</v>
      </c>
      <c r="E158" s="7" t="s">
        <v>207</v>
      </c>
      <c r="F158" s="7" t="s">
        <v>158</v>
      </c>
      <c r="G158" s="23" t="s">
        <v>182</v>
      </c>
      <c r="H158" s="7" t="s">
        <v>5</v>
      </c>
      <c r="I158" s="8">
        <v>10</v>
      </c>
      <c r="J158" s="9">
        <v>307558131</v>
      </c>
      <c r="K158" s="27"/>
      <c r="L158" s="27"/>
      <c r="M158" s="43">
        <f t="shared" si="97"/>
        <v>307558131</v>
      </c>
      <c r="N158" s="27">
        <v>0</v>
      </c>
      <c r="O158" s="27">
        <v>256202075</v>
      </c>
      <c r="P158" s="27">
        <f>+M158-O158-N158</f>
        <v>51356056</v>
      </c>
      <c r="Q158" s="9">
        <v>47761222</v>
      </c>
      <c r="R158" s="25">
        <f t="shared" si="73"/>
        <v>0.15529169020733841</v>
      </c>
      <c r="S158" s="9">
        <v>11640891</v>
      </c>
      <c r="T158" s="10">
        <v>8647446</v>
      </c>
    </row>
    <row r="159" spans="1:20" ht="39" customHeight="1" x14ac:dyDescent="0.25">
      <c r="A159" s="91" t="s">
        <v>18</v>
      </c>
      <c r="B159" s="53" t="s">
        <v>95</v>
      </c>
      <c r="C159" s="7" t="s">
        <v>89</v>
      </c>
      <c r="D159" s="7" t="s">
        <v>97</v>
      </c>
      <c r="E159" s="7" t="s">
        <v>207</v>
      </c>
      <c r="F159" s="7" t="s">
        <v>157</v>
      </c>
      <c r="G159" s="23" t="s">
        <v>183</v>
      </c>
      <c r="H159" s="7" t="s">
        <v>5</v>
      </c>
      <c r="I159" s="8">
        <v>10</v>
      </c>
      <c r="J159" s="9">
        <v>463147789</v>
      </c>
      <c r="K159" s="27"/>
      <c r="L159" s="27"/>
      <c r="M159" s="43">
        <f t="shared" si="97"/>
        <v>463147789</v>
      </c>
      <c r="N159" s="27">
        <v>0</v>
      </c>
      <c r="O159" s="27">
        <v>372321588</v>
      </c>
      <c r="P159" s="27">
        <f>+M159-O159-N159</f>
        <v>90826201</v>
      </c>
      <c r="Q159" s="9">
        <v>46960904</v>
      </c>
      <c r="R159" s="25">
        <f t="shared" si="73"/>
        <v>0.10139507326893446</v>
      </c>
      <c r="S159" s="9"/>
      <c r="T159" s="10"/>
    </row>
    <row r="160" spans="1:20" ht="39" customHeight="1" x14ac:dyDescent="0.25">
      <c r="A160" s="92" t="s">
        <v>18</v>
      </c>
      <c r="B160" s="11" t="s">
        <v>95</v>
      </c>
      <c r="C160" s="11" t="s">
        <v>89</v>
      </c>
      <c r="D160" s="11">
        <v>25</v>
      </c>
      <c r="E160" s="11"/>
      <c r="F160" s="11"/>
      <c r="G160" s="12" t="s">
        <v>208</v>
      </c>
      <c r="H160" s="11" t="s">
        <v>5</v>
      </c>
      <c r="I160" s="13">
        <v>10</v>
      </c>
      <c r="J160" s="14">
        <f>J161+J162</f>
        <v>24962878183</v>
      </c>
      <c r="K160" s="24">
        <f t="shared" ref="K160:L160" si="110">K161+K162</f>
        <v>0</v>
      </c>
      <c r="L160" s="24">
        <f t="shared" si="110"/>
        <v>0</v>
      </c>
      <c r="M160" s="46">
        <f>M161+M162</f>
        <v>24962878183</v>
      </c>
      <c r="N160" s="24">
        <f>N161+N162</f>
        <v>0</v>
      </c>
      <c r="O160" s="24">
        <f>O161+O162</f>
        <v>10589743331.809999</v>
      </c>
      <c r="P160" s="24">
        <f>P161+P162</f>
        <v>14373134851.190001</v>
      </c>
      <c r="Q160" s="14">
        <f>Q161+Q162</f>
        <v>10589743331.809999</v>
      </c>
      <c r="R160" s="26">
        <f>IF(Q160&gt;1,Q160/(M160-N160),0)</f>
        <v>0.42421964543422452</v>
      </c>
      <c r="S160" s="14">
        <f>S161+S162</f>
        <v>17880926.809999999</v>
      </c>
      <c r="T160" s="22">
        <f t="shared" ref="T160" si="111">T161+T162</f>
        <v>289.91000000000003</v>
      </c>
    </row>
    <row r="161" spans="1:20" ht="39" customHeight="1" x14ac:dyDescent="0.25">
      <c r="A161" s="91" t="s">
        <v>18</v>
      </c>
      <c r="B161" s="7" t="s">
        <v>95</v>
      </c>
      <c r="C161" s="7" t="s">
        <v>89</v>
      </c>
      <c r="D161" s="7">
        <v>25</v>
      </c>
      <c r="E161" s="7" t="s">
        <v>207</v>
      </c>
      <c r="F161" s="7">
        <v>2999011</v>
      </c>
      <c r="G161" s="23" t="s">
        <v>209</v>
      </c>
      <c r="H161" s="7" t="s">
        <v>5</v>
      </c>
      <c r="I161" s="8">
        <v>10</v>
      </c>
      <c r="J161" s="9">
        <v>3044496517</v>
      </c>
      <c r="K161" s="24"/>
      <c r="L161" s="24"/>
      <c r="M161" s="43">
        <f t="shared" si="97"/>
        <v>3044496517</v>
      </c>
      <c r="N161" s="27"/>
      <c r="O161" s="27">
        <v>55294742.810000002</v>
      </c>
      <c r="P161" s="27">
        <f>+M161-O161-N161</f>
        <v>2989201774.1900001</v>
      </c>
      <c r="Q161" s="9">
        <v>55294742.810000002</v>
      </c>
      <c r="R161" s="26">
        <f t="shared" si="73"/>
        <v>1.8162196113952724E-2</v>
      </c>
      <c r="S161" s="9">
        <v>17880926.809999999</v>
      </c>
      <c r="T161" s="10">
        <v>289.91000000000003</v>
      </c>
    </row>
    <row r="162" spans="1:20" ht="39" customHeight="1" x14ac:dyDescent="0.25">
      <c r="A162" s="91" t="s">
        <v>18</v>
      </c>
      <c r="B162" s="7" t="s">
        <v>95</v>
      </c>
      <c r="C162" s="7" t="s">
        <v>89</v>
      </c>
      <c r="D162" s="7">
        <v>25</v>
      </c>
      <c r="E162" s="7" t="s">
        <v>207</v>
      </c>
      <c r="F162" s="7">
        <v>2999054</v>
      </c>
      <c r="G162" s="23" t="s">
        <v>210</v>
      </c>
      <c r="H162" s="7" t="s">
        <v>5</v>
      </c>
      <c r="I162" s="8">
        <v>10</v>
      </c>
      <c r="J162" s="9">
        <v>21918381666</v>
      </c>
      <c r="K162" s="24"/>
      <c r="L162" s="24"/>
      <c r="M162" s="43">
        <f t="shared" si="97"/>
        <v>21918381666</v>
      </c>
      <c r="N162" s="27"/>
      <c r="O162" s="27">
        <v>10534448589</v>
      </c>
      <c r="P162" s="27">
        <f t="shared" ref="P162:P164" si="112">+M162-O162-N162</f>
        <v>11383933077</v>
      </c>
      <c r="Q162" s="9">
        <v>10534448589</v>
      </c>
      <c r="R162" s="26">
        <f>IF(Q162&gt;1,Q162/(M162-N162),0)</f>
        <v>0.48062164212338432</v>
      </c>
      <c r="S162" s="9">
        <v>0</v>
      </c>
      <c r="T162" s="22"/>
    </row>
    <row r="163" spans="1:20" ht="39" customHeight="1" x14ac:dyDescent="0.25">
      <c r="A163" s="92" t="s">
        <v>18</v>
      </c>
      <c r="B163" s="11" t="s">
        <v>95</v>
      </c>
      <c r="C163" s="11" t="s">
        <v>89</v>
      </c>
      <c r="D163" s="11">
        <v>26</v>
      </c>
      <c r="E163" s="7"/>
      <c r="F163" s="7"/>
      <c r="G163" s="12" t="s">
        <v>218</v>
      </c>
      <c r="H163" s="11" t="s">
        <v>5</v>
      </c>
      <c r="I163" s="13">
        <v>10</v>
      </c>
      <c r="J163" s="14">
        <f>J164</f>
        <v>16119500000</v>
      </c>
      <c r="K163" s="24">
        <f t="shared" ref="K163:O163" si="113">K164</f>
        <v>0</v>
      </c>
      <c r="L163" s="24">
        <f t="shared" si="113"/>
        <v>0</v>
      </c>
      <c r="M163" s="46">
        <f t="shared" si="113"/>
        <v>16119500000</v>
      </c>
      <c r="N163" s="24">
        <f t="shared" si="113"/>
        <v>0</v>
      </c>
      <c r="O163" s="24">
        <f t="shared" si="113"/>
        <v>16119500000</v>
      </c>
      <c r="P163" s="24">
        <f>P164</f>
        <v>0</v>
      </c>
      <c r="Q163" s="14">
        <f>Q164</f>
        <v>0</v>
      </c>
      <c r="R163" s="26">
        <f>IF(Q163&gt;1,Q163/(M163-N163),0)</f>
        <v>0</v>
      </c>
      <c r="S163" s="14">
        <f t="shared" ref="S163:T163" si="114">S164</f>
        <v>0</v>
      </c>
      <c r="T163" s="22">
        <f t="shared" si="114"/>
        <v>0</v>
      </c>
    </row>
    <row r="164" spans="1:20" ht="32.25" customHeight="1" x14ac:dyDescent="0.25">
      <c r="A164" s="91" t="s">
        <v>18</v>
      </c>
      <c r="B164" s="7" t="s">
        <v>95</v>
      </c>
      <c r="C164" s="7" t="s">
        <v>89</v>
      </c>
      <c r="D164" s="7">
        <v>26</v>
      </c>
      <c r="E164" s="7" t="s">
        <v>217</v>
      </c>
      <c r="F164" s="7">
        <v>2999054</v>
      </c>
      <c r="G164" s="23" t="s">
        <v>216</v>
      </c>
      <c r="H164" s="7" t="s">
        <v>5</v>
      </c>
      <c r="I164" s="8">
        <v>10</v>
      </c>
      <c r="J164" s="9">
        <v>16119500000</v>
      </c>
      <c r="K164" s="27">
        <v>0</v>
      </c>
      <c r="L164" s="27"/>
      <c r="M164" s="43">
        <f t="shared" si="97"/>
        <v>16119500000</v>
      </c>
      <c r="N164" s="27">
        <v>0</v>
      </c>
      <c r="O164" s="27">
        <v>16119500000</v>
      </c>
      <c r="P164" s="27">
        <f t="shared" si="112"/>
        <v>0</v>
      </c>
      <c r="Q164" s="9">
        <v>0</v>
      </c>
      <c r="R164" s="25">
        <f t="shared" si="73"/>
        <v>0</v>
      </c>
      <c r="S164" s="9">
        <v>0</v>
      </c>
      <c r="T164" s="10">
        <v>0</v>
      </c>
    </row>
    <row r="165" spans="1:20" ht="16.5" customHeight="1" x14ac:dyDescent="0.25">
      <c r="A165" s="78" t="s">
        <v>18</v>
      </c>
      <c r="B165" s="78"/>
      <c r="C165" s="78"/>
      <c r="D165" s="78"/>
      <c r="E165" s="78"/>
      <c r="F165" s="78"/>
      <c r="G165" s="79" t="s">
        <v>19</v>
      </c>
      <c r="H165" s="78" t="s">
        <v>5</v>
      </c>
      <c r="I165" s="80">
        <v>10</v>
      </c>
      <c r="J165" s="61">
        <f>J116+J144</f>
        <v>136555593083</v>
      </c>
      <c r="K165" s="61">
        <f t="shared" ref="K165:Q165" si="115">K116+K144</f>
        <v>3159178868</v>
      </c>
      <c r="L165" s="61">
        <f t="shared" si="115"/>
        <v>3159178868</v>
      </c>
      <c r="M165" s="61">
        <f t="shared" si="115"/>
        <v>136555593083</v>
      </c>
      <c r="N165" s="3">
        <f t="shared" si="115"/>
        <v>0</v>
      </c>
      <c r="O165" s="61">
        <f t="shared" si="115"/>
        <v>91091697187.169998</v>
      </c>
      <c r="P165" s="61">
        <f t="shared" si="115"/>
        <v>45463895895.830002</v>
      </c>
      <c r="Q165" s="61">
        <f t="shared" si="115"/>
        <v>42502713233.169998</v>
      </c>
      <c r="R165" s="73">
        <f>IF(Q165&gt;1,Q165/(M165-N165),0)</f>
        <v>0.31124842471546649</v>
      </c>
      <c r="S165" s="61">
        <f>S116+S144</f>
        <v>2230048700.8899999</v>
      </c>
      <c r="T165" s="70">
        <f>T116+T144</f>
        <v>2163392120.9900002</v>
      </c>
    </row>
    <row r="166" spans="1:20" ht="15" customHeight="1" x14ac:dyDescent="0.25">
      <c r="A166" s="78" t="s">
        <v>18</v>
      </c>
      <c r="B166" s="78"/>
      <c r="C166" s="78"/>
      <c r="D166" s="78"/>
      <c r="E166" s="78"/>
      <c r="F166" s="78"/>
      <c r="G166" s="79" t="s">
        <v>19</v>
      </c>
      <c r="H166" s="78" t="s">
        <v>8</v>
      </c>
      <c r="I166" s="80">
        <v>21</v>
      </c>
      <c r="J166" s="61">
        <f>J117</f>
        <v>315108465</v>
      </c>
      <c r="K166" s="61">
        <f>K117</f>
        <v>0</v>
      </c>
      <c r="L166" s="61">
        <f>L117</f>
        <v>0</v>
      </c>
      <c r="M166" s="61">
        <f>M117</f>
        <v>315108465</v>
      </c>
      <c r="N166" s="3">
        <v>0</v>
      </c>
      <c r="O166" s="61">
        <f>O117</f>
        <v>315108465</v>
      </c>
      <c r="P166" s="61">
        <f>P117</f>
        <v>0</v>
      </c>
      <c r="Q166" s="61">
        <f>Q117</f>
        <v>315108465</v>
      </c>
      <c r="R166" s="73">
        <f t="shared" ref="R166" si="116">IF(Q166&gt;1,Q166/(M166-N166),0)</f>
        <v>1</v>
      </c>
      <c r="S166" s="61">
        <f>S117</f>
        <v>0</v>
      </c>
      <c r="T166" s="70">
        <f>T117</f>
        <v>0</v>
      </c>
    </row>
    <row r="167" spans="1:20" s="5" customFormat="1" ht="13.5" customHeight="1" thickBot="1" x14ac:dyDescent="0.25">
      <c r="A167" s="127" t="s">
        <v>29</v>
      </c>
      <c r="B167" s="128"/>
      <c r="C167" s="128"/>
      <c r="D167" s="128"/>
      <c r="E167" s="128"/>
      <c r="F167" s="128"/>
      <c r="G167" s="128"/>
      <c r="H167" s="128"/>
      <c r="I167" s="129"/>
      <c r="J167" s="40">
        <f>SUM(J165:J166)</f>
        <v>136870701548</v>
      </c>
      <c r="K167" s="40">
        <f t="shared" ref="K167:Q167" si="117">SUM(K165:K166)</f>
        <v>3159178868</v>
      </c>
      <c r="L167" s="40">
        <f t="shared" si="117"/>
        <v>3159178868</v>
      </c>
      <c r="M167" s="40">
        <f t="shared" si="117"/>
        <v>136870701548</v>
      </c>
      <c r="N167" s="40">
        <f t="shared" si="117"/>
        <v>0</v>
      </c>
      <c r="O167" s="40">
        <f t="shared" si="117"/>
        <v>91406805652.169998</v>
      </c>
      <c r="P167" s="40">
        <f t="shared" si="117"/>
        <v>45463895895.830002</v>
      </c>
      <c r="Q167" s="40">
        <f t="shared" si="117"/>
        <v>42817821698.169998</v>
      </c>
      <c r="R167" s="42">
        <f>IF(Q167&gt;1,Q167/(M167-N167),0)</f>
        <v>0.3128340924237461</v>
      </c>
      <c r="S167" s="40">
        <f>SUM(S165:S166)</f>
        <v>2230048700.8899999</v>
      </c>
      <c r="T167" s="50">
        <f>SUM(T165:T166)</f>
        <v>2163392120.9900002</v>
      </c>
    </row>
    <row r="168" spans="1:20" s="15" customFormat="1" ht="11.25" customHeight="1" thickBot="1" x14ac:dyDescent="0.3">
      <c r="A168" s="127" t="s">
        <v>30</v>
      </c>
      <c r="B168" s="128"/>
      <c r="C168" s="128"/>
      <c r="D168" s="128"/>
      <c r="E168" s="128"/>
      <c r="F168" s="128"/>
      <c r="G168" s="128"/>
      <c r="H168" s="128"/>
      <c r="I168" s="128"/>
      <c r="J168" s="77">
        <f>+J167+J114</f>
        <v>548423537395</v>
      </c>
      <c r="K168" s="77">
        <f t="shared" ref="K168:Q168" si="118">+K167+K114</f>
        <v>5624733223</v>
      </c>
      <c r="L168" s="77">
        <f t="shared" si="118"/>
        <v>5624733223</v>
      </c>
      <c r="M168" s="77">
        <f t="shared" si="118"/>
        <v>548423537395</v>
      </c>
      <c r="N168" s="76">
        <f>M168-[2]REP_EPG034_EjecucionPresupuesta!$Q$29</f>
        <v>0</v>
      </c>
      <c r="O168" s="40">
        <f t="shared" si="118"/>
        <v>253654931429.10999</v>
      </c>
      <c r="P168" s="40">
        <f t="shared" si="118"/>
        <v>294768605965.89001</v>
      </c>
      <c r="Q168" s="40">
        <f t="shared" si="118"/>
        <v>198544783684.81</v>
      </c>
      <c r="R168" s="42">
        <f>IF(Q168&gt;1,Q168/(M168-N168),0)</f>
        <v>0.36202819563123323</v>
      </c>
      <c r="S168" s="40">
        <f>+S167+S114</f>
        <v>138399663862.53</v>
      </c>
      <c r="T168" s="50">
        <f>+T167+T114</f>
        <v>138159921933.53</v>
      </c>
    </row>
    <row r="169" spans="1:20" s="15" customFormat="1" ht="6.75" customHeight="1" x14ac:dyDescent="0.25">
      <c r="A169" s="105"/>
      <c r="B169" s="105"/>
      <c r="C169" s="105"/>
      <c r="D169" s="105"/>
      <c r="E169" s="105"/>
      <c r="F169" s="105"/>
      <c r="G169" s="105"/>
      <c r="H169" s="105"/>
      <c r="I169" s="105"/>
      <c r="J169" s="101"/>
      <c r="K169" s="101"/>
      <c r="L169" s="101"/>
      <c r="M169" s="101"/>
      <c r="N169" s="101"/>
      <c r="O169" s="101"/>
      <c r="P169" s="101"/>
      <c r="Q169" s="101"/>
      <c r="R169" s="106"/>
      <c r="S169" s="101"/>
      <c r="T169" s="101"/>
    </row>
    <row r="170" spans="1:20" s="15" customFormat="1" ht="9" customHeight="1" x14ac:dyDescent="0.25">
      <c r="A170" s="15" t="s">
        <v>32</v>
      </c>
      <c r="E170" s="16"/>
      <c r="F170" s="17"/>
      <c r="G170" s="18"/>
      <c r="H170" s="19"/>
      <c r="I170" s="20"/>
      <c r="J170" s="20">
        <f>J168-548423537395</f>
        <v>0</v>
      </c>
      <c r="K170" s="20">
        <f>K168-L168</f>
        <v>0</v>
      </c>
      <c r="L170" s="20"/>
      <c r="M170" s="101"/>
      <c r="N170" s="57"/>
      <c r="O170" s="44"/>
      <c r="P170" s="21"/>
      <c r="Q170" s="30"/>
      <c r="R170" s="21"/>
      <c r="S170" s="63"/>
      <c r="T170" s="63"/>
    </row>
    <row r="171" spans="1:20" s="15" customFormat="1" ht="9" customHeight="1" x14ac:dyDescent="0.25">
      <c r="A171" s="15" t="s">
        <v>202</v>
      </c>
      <c r="E171" s="16"/>
      <c r="F171" s="17"/>
      <c r="G171" s="18"/>
      <c r="H171" s="19"/>
      <c r="I171" s="20"/>
      <c r="J171" s="20"/>
      <c r="K171" s="20"/>
      <c r="L171" s="20">
        <f>K168-L168</f>
        <v>0</v>
      </c>
      <c r="N171" s="63"/>
      <c r="O171" s="28"/>
      <c r="P171" s="21"/>
      <c r="Q171" s="31"/>
      <c r="R171" s="21"/>
    </row>
    <row r="172" spans="1:20" s="15" customFormat="1" ht="9" customHeight="1" x14ac:dyDescent="0.25">
      <c r="A172" s="15" t="s">
        <v>201</v>
      </c>
      <c r="E172" s="16"/>
      <c r="F172" s="17"/>
      <c r="G172" s="18"/>
      <c r="H172" s="19"/>
      <c r="I172" s="20"/>
      <c r="J172" s="20"/>
      <c r="K172" s="20"/>
      <c r="L172" s="107"/>
      <c r="M172" s="63"/>
      <c r="N172" s="21"/>
      <c r="O172" s="64"/>
      <c r="P172" s="21"/>
      <c r="Q172" s="31"/>
      <c r="R172" s="21"/>
    </row>
    <row r="173" spans="1:20" x14ac:dyDescent="0.25">
      <c r="A173" s="15" t="s">
        <v>227</v>
      </c>
      <c r="B173" s="15"/>
      <c r="C173" s="15"/>
      <c r="D173" s="15"/>
      <c r="E173" s="16"/>
      <c r="F173" s="17"/>
      <c r="G173" s="18"/>
      <c r="H173" s="19"/>
      <c r="I173" s="20"/>
      <c r="J173" s="20"/>
      <c r="K173" s="20"/>
      <c r="L173" s="20"/>
      <c r="M173" s="15"/>
      <c r="N173" s="63"/>
      <c r="O173" s="28"/>
      <c r="P173" s="21"/>
      <c r="Q173" s="31"/>
      <c r="R173" s="21"/>
      <c r="S173" s="15"/>
      <c r="T173" s="15"/>
    </row>
    <row r="174" spans="1:20" x14ac:dyDescent="0.25">
      <c r="L174" s="108"/>
    </row>
  </sheetData>
  <mergeCells count="13">
    <mergeCell ref="A2:T2"/>
    <mergeCell ref="A1:F1"/>
    <mergeCell ref="A115:T115"/>
    <mergeCell ref="A167:I167"/>
    <mergeCell ref="A168:I168"/>
    <mergeCell ref="A34:I34"/>
    <mergeCell ref="A35:T35"/>
    <mergeCell ref="A87:I87"/>
    <mergeCell ref="A88:T88"/>
    <mergeCell ref="A110:I110"/>
    <mergeCell ref="A114:I114"/>
    <mergeCell ref="A99:T99"/>
    <mergeCell ref="A98:I98"/>
  </mergeCells>
  <phoneticPr fontId="13" type="noConversion"/>
  <pageMargins left="0.98425196850393704" right="0" top="1.1811023622047245" bottom="0.9055118110236221" header="0.39370078740157483" footer="0.39370078740157483"/>
  <pageSetup paperSize="9" scale="80" orientation="landscape" r:id="rId1"/>
  <headerFooter scaleWithDoc="0" alignWithMargins="0">
    <oddHeader>&amp;L&amp;G&amp;C&amp;"-,Negrita"INSTITUTO NACIONAL DE MEDICINAL LEGAL Y CIENCIAS FORENSES&amp;"-,Normal"
SUBDIRECCION ADMINISTRATIVA Y FINANCIERA
EJECUCION PRESUPUESTAL  MAYO 31-2026&amp;R
Página &amp;P de &amp;N</oddHeader>
  </headerFooter>
  <ignoredErrors>
    <ignoredError sqref="P95 N23:N31 F108 H108:I108 C33:I33 Q33 G23:I26 H27:I27 G28:I31 H50:I50 H53:I55 C18:D18 C19:E26 C3:E4 I4 C36 C5:F17 C27:F32 O93:Q93 M86:M87 P107 N107 M100:M101 M102:O102 M105:O106 Q102 S87:T87 S91:T94 S98:T98 S105:T106 S100:T102 O100 Q89 B100:E109 Q105:Q106 B91:B96 B90:I90 S89:T89 N98:O98 O33:O34 S33:T34 F100:I107 C92:I93 C85:I86 B152:D153 B144:E144 F147 F149:F150 F152:F153 F158:F159 B139:C139 B145:D150 B151:I151 C81:F84 B81:B86 B154:I154 O92 Q92 O94 Q94 Q100 Q98 B3:B33 B140:D143 F140:F143 F156:I156 K156 H91:I91 C95:I96 C94:F94 H94:I94 B130:D130 I80:I84 B45:I46 N52 K151:L151 C91:F91 B160:C164 B155:D159 B97:I97 O86 O87:Q87 O101:Q101 B89:F89 H89:I89 N50 I51 C37:F41 B36:B41 I56:I66 B47:F66 B42:F43 B44:F44 I67:I78 B67:F80 N55" numberStoredAsText="1"/>
    <ignoredError sqref="M18 R3:R4 R18 R36 R85 R95:R96 R108:R109 N109 P26 P18 M139:P139 M157 R33:R34 P119 A111:I111 G119:I119 A131:A138 E118:I118 E120:F120 E124:M124 G131:I131 G134:I134 A115:T115 A113:I113 S112:T112 M119:N119 R119 O120:T120 H135:I135 R144:R145 R151 R156:R157 R165:R168 R100 R102 H120:I120 E126:I126 H136:I136 P134 M121:N121 G121:I123 M122:N122 G137:I138 L127:N127 G127:I129 M128:N129 P121:P124 P136:P138 A117:F117 H117:I117 R121:R123 P125 R125 P127:P129 M147:N147 R127:R129 R132:R133 R136:R139 P102 O118 Q118:T118 G132:H133 N132:N133 M120 Q111 A112:O112 Q112 A116:I116 Q124:T124 G125:I125 M134:N134 M111 M136:M138 R116:R117 O124 R92 P151 K119 M123:N123 K125:N125 K128:K129 K132 K134 K136 K138 A118:A119 K126:M126 A114:M114 T114 P146:P148 R154 A120:A124 A126:A129 A125 L118 K120:L120 K135:M135 K111 K113:M113 M163 R163 O114:Q114 O113:Q113 R146:R148 O111 M160 P160 P163 R160 R45:R46 M26 M154 P154 J145:N145 S145:T145 R97 N168 S113:T113 R130:R131 R111 R112 R110 R113:R114 M94 N100 O126:T126 O135:T135 M146 O145:Q145 M148 O157:P157 R26 N87 M71 M45:O45" formula="1"/>
    <ignoredError sqref="P105:P106 R86 R93:R94 P91 R89:R90 R104:R107 M156 M151 B135:F135 B131:F131 R101 P156 F119 F121:F123 B126:D129 F127:F129 B132:D134 F132:F134 B136:D138 B125:D125 B118:D119 F136:F138 R87 B120:D124 F125" numberStoredAsText="1" formula="1"/>
    <ignoredError sqref="N18" formulaRange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MAYO 31-2026</vt:lpstr>
      <vt:lpstr>'MAYO 31-2026'!Área_de_impresión</vt:lpstr>
      <vt:lpstr>'MAYO 31-2026'!Títulos_a_imprimir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Cesar Augusto Acuna Reyes</cp:lastModifiedBy>
  <cp:lastPrinted>2026-06-04T21:33:42Z</cp:lastPrinted>
  <dcterms:created xsi:type="dcterms:W3CDTF">2016-02-01T15:56:25Z</dcterms:created>
  <dcterms:modified xsi:type="dcterms:W3CDTF">2026-06-04T21:33:55Z</dcterms:modified>
</cp:coreProperties>
</file>