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Julio/"/>
    </mc:Choice>
  </mc:AlternateContent>
  <xr:revisionPtr revIDLastSave="0" documentId="8_{28E6406A-6174-4319-A099-0E37C59A3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-31-2026" sheetId="11" r:id="rId1"/>
  </sheets>
  <definedNames>
    <definedName name="_xlnm._FilterDatabase" localSheetId="0" hidden="1">'JULIO-31-2026'!$A$1:$IY$171</definedName>
    <definedName name="_xlnm.Print_Area" localSheetId="0">'JULIO-31-2026'!$A$1:$T$176</definedName>
    <definedName name="_xlnm.Print_Titles" localSheetId="0">'JULIO-31-2026'!$1:$1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3" i="11" l="1"/>
  <c r="K66" i="11"/>
  <c r="K37" i="11"/>
  <c r="L75" i="11"/>
  <c r="L54" i="11"/>
  <c r="L53" i="11"/>
  <c r="L50" i="11"/>
  <c r="L49" i="11"/>
  <c r="L44" i="11"/>
  <c r="L41" i="11"/>
  <c r="L38" i="11"/>
  <c r="K78" i="11"/>
  <c r="K56" i="11"/>
  <c r="L83" i="11"/>
  <c r="L72" i="11"/>
  <c r="K81" i="11"/>
  <c r="L77" i="11"/>
  <c r="L64" i="11"/>
  <c r="L62" i="11"/>
  <c r="L61" i="11"/>
  <c r="L60" i="11"/>
  <c r="L56" i="11"/>
  <c r="L55" i="11"/>
  <c r="L81" i="11"/>
  <c r="L66" i="11"/>
  <c r="L59" i="11"/>
  <c r="K64" i="11"/>
  <c r="K60" i="11"/>
  <c r="K54" i="11"/>
  <c r="K41" i="11"/>
  <c r="K62" i="11"/>
  <c r="K61" i="11"/>
  <c r="K50" i="11"/>
  <c r="L79" i="11"/>
  <c r="L27" i="11"/>
  <c r="K77" i="11"/>
  <c r="L5" i="11"/>
  <c r="M72" i="11" l="1"/>
  <c r="T98" i="11"/>
  <c r="S98" i="11"/>
  <c r="Q98" i="11"/>
  <c r="R98" i="11" s="1"/>
  <c r="O98" i="11"/>
  <c r="M99" i="11"/>
  <c r="P99" i="11" s="1"/>
  <c r="P98" i="11" s="1"/>
  <c r="J98" i="11"/>
  <c r="K98" i="11"/>
  <c r="K82" i="11"/>
  <c r="M82" i="11" s="1"/>
  <c r="K31" i="11"/>
  <c r="L42" i="11"/>
  <c r="L65" i="11"/>
  <c r="K39" i="11"/>
  <c r="T45" i="11"/>
  <c r="S45" i="11"/>
  <c r="Q45" i="11"/>
  <c r="O45" i="11"/>
  <c r="J45" i="11"/>
  <c r="M68" i="11"/>
  <c r="R68" i="11" s="1"/>
  <c r="K38" i="11"/>
  <c r="K67" i="11"/>
  <c r="K59" i="11"/>
  <c r="K58" i="11"/>
  <c r="K55" i="11"/>
  <c r="L63" i="11"/>
  <c r="L57" i="11"/>
  <c r="L52" i="11"/>
  <c r="L37" i="11"/>
  <c r="K84" i="11"/>
  <c r="K57" i="11"/>
  <c r="K53" i="11"/>
  <c r="K52" i="11"/>
  <c r="M62" i="11"/>
  <c r="K63" i="11"/>
  <c r="K83" i="11"/>
  <c r="L58" i="11"/>
  <c r="L43" i="11"/>
  <c r="K42" i="11"/>
  <c r="K65" i="11"/>
  <c r="M65" i="11" l="1"/>
  <c r="P65" i="11" s="1"/>
  <c r="M98" i="11"/>
  <c r="P68" i="11"/>
  <c r="K36" i="11"/>
  <c r="Q36" i="11"/>
  <c r="O36" i="11"/>
  <c r="M145" i="11"/>
  <c r="M143" i="11"/>
  <c r="T36" i="11"/>
  <c r="S36" i="11"/>
  <c r="N36" i="11"/>
  <c r="J36" i="11"/>
  <c r="M44" i="11"/>
  <c r="P44" i="11" s="1"/>
  <c r="L76" i="11"/>
  <c r="M42" i="11"/>
  <c r="M64" i="11"/>
  <c r="R65" i="11"/>
  <c r="Q157" i="11"/>
  <c r="M51" i="11"/>
  <c r="P51" i="11" s="1"/>
  <c r="M48" i="11"/>
  <c r="P48" i="11" s="1"/>
  <c r="S163" i="11"/>
  <c r="S160" i="11"/>
  <c r="N166" i="11"/>
  <c r="N163" i="11"/>
  <c r="N160" i="11"/>
  <c r="N154" i="11"/>
  <c r="N151" i="11"/>
  <c r="N149" i="11"/>
  <c r="N138" i="11"/>
  <c r="N129" i="11"/>
  <c r="N127" i="11"/>
  <c r="N123" i="11"/>
  <c r="N121" i="11"/>
  <c r="N95" i="11"/>
  <c r="N91" i="11"/>
  <c r="N90" i="11" s="1"/>
  <c r="N46" i="11"/>
  <c r="N87" i="11" s="1"/>
  <c r="N18" i="11"/>
  <c r="N4" i="11"/>
  <c r="N98" i="11" l="1"/>
  <c r="N100" i="11" s="1"/>
  <c r="L45" i="11"/>
  <c r="P42" i="11"/>
  <c r="R44" i="11"/>
  <c r="R48" i="11"/>
  <c r="R51" i="11"/>
  <c r="P64" i="11"/>
  <c r="R42" i="11"/>
  <c r="L36" i="11"/>
  <c r="J86" i="11"/>
  <c r="N3" i="11"/>
  <c r="N33" i="11" s="1"/>
  <c r="T46" i="11" l="1"/>
  <c r="S46" i="11"/>
  <c r="Q46" i="11"/>
  <c r="O46" i="11"/>
  <c r="L46" i="11"/>
  <c r="K46" i="11"/>
  <c r="J46" i="11"/>
  <c r="M81" i="11" l="1"/>
  <c r="K76" i="11"/>
  <c r="K45" i="11" s="1"/>
  <c r="J163" i="11"/>
  <c r="J166" i="11"/>
  <c r="T157" i="11"/>
  <c r="S157" i="11"/>
  <c r="O157" i="11"/>
  <c r="Q163" i="11"/>
  <c r="O163" i="11"/>
  <c r="Q166" i="11"/>
  <c r="R166" i="11" s="1"/>
  <c r="T163" i="11"/>
  <c r="L163" i="11"/>
  <c r="K163" i="11"/>
  <c r="R64" i="11"/>
  <c r="R62" i="11"/>
  <c r="R61" i="11"/>
  <c r="M63" i="11"/>
  <c r="P63" i="11" s="1"/>
  <c r="M5" i="11"/>
  <c r="T166" i="11"/>
  <c r="S166" i="11"/>
  <c r="O166" i="11"/>
  <c r="L166" i="11"/>
  <c r="K166" i="11"/>
  <c r="J121" i="11"/>
  <c r="J134" i="11"/>
  <c r="J120" i="11" s="1"/>
  <c r="J169" i="11" s="1"/>
  <c r="J160" i="11"/>
  <c r="J157" i="11"/>
  <c r="J154" i="11"/>
  <c r="J151" i="11"/>
  <c r="J149" i="11"/>
  <c r="J142" i="11"/>
  <c r="J138" i="11"/>
  <c r="J133" i="11"/>
  <c r="J129" i="11"/>
  <c r="J123" i="11"/>
  <c r="K121" i="11"/>
  <c r="N157" i="11"/>
  <c r="N148" i="11" s="1"/>
  <c r="N147" i="11" s="1"/>
  <c r="L157" i="11"/>
  <c r="K157" i="11"/>
  <c r="M158" i="11"/>
  <c r="R158" i="11" s="1"/>
  <c r="J4" i="11"/>
  <c r="M80" i="11"/>
  <c r="R80" i="11" s="1"/>
  <c r="O154" i="11"/>
  <c r="O151" i="11"/>
  <c r="O149" i="11"/>
  <c r="M53" i="11"/>
  <c r="M47" i="11"/>
  <c r="M49" i="11"/>
  <c r="P49" i="11" s="1"/>
  <c r="R49" i="11" l="1"/>
  <c r="R63" i="11"/>
  <c r="P62" i="11"/>
  <c r="J148" i="11"/>
  <c r="J147" i="11" s="1"/>
  <c r="P158" i="11"/>
  <c r="P80" i="11"/>
  <c r="T133" i="11"/>
  <c r="S133" i="11"/>
  <c r="Q133" i="11"/>
  <c r="O133" i="11"/>
  <c r="N133" i="11"/>
  <c r="L133" i="11"/>
  <c r="K133" i="11"/>
  <c r="J105" i="11"/>
  <c r="J103" i="11" s="1"/>
  <c r="T134" i="11"/>
  <c r="T120" i="11" s="1"/>
  <c r="S134" i="11"/>
  <c r="S120" i="11" s="1"/>
  <c r="Q134" i="11"/>
  <c r="O134" i="11"/>
  <c r="O120" i="11" s="1"/>
  <c r="N134" i="11"/>
  <c r="N120" i="11" s="1"/>
  <c r="L134" i="11"/>
  <c r="L120" i="11" s="1"/>
  <c r="K134" i="11"/>
  <c r="K120" i="11" s="1"/>
  <c r="T91" i="11"/>
  <c r="S91" i="11"/>
  <c r="Q91" i="11"/>
  <c r="O91" i="11"/>
  <c r="L91" i="11"/>
  <c r="K91" i="11"/>
  <c r="J91" i="11"/>
  <c r="J90" i="11" s="1"/>
  <c r="Q151" i="11"/>
  <c r="M165" i="11"/>
  <c r="M164" i="11"/>
  <c r="L160" i="11"/>
  <c r="K160" i="11"/>
  <c r="M110" i="11"/>
  <c r="M107" i="11"/>
  <c r="P107" i="11" s="1"/>
  <c r="M106" i="11"/>
  <c r="P106" i="11" s="1"/>
  <c r="M122" i="11"/>
  <c r="M121" i="11" s="1"/>
  <c r="L105" i="11"/>
  <c r="P164" i="11" l="1"/>
  <c r="M163" i="11"/>
  <c r="R163" i="11" s="1"/>
  <c r="P165" i="11"/>
  <c r="R165" i="11"/>
  <c r="Q120" i="11"/>
  <c r="R164" i="11"/>
  <c r="M59" i="11"/>
  <c r="P163" i="11" l="1"/>
  <c r="M135" i="11"/>
  <c r="M136" i="11"/>
  <c r="P136" i="11" s="1"/>
  <c r="M133" i="11" l="1"/>
  <c r="R133" i="11" s="1"/>
  <c r="P135" i="11"/>
  <c r="P133" i="11" s="1"/>
  <c r="J95" i="11" l="1"/>
  <c r="M84" i="11" l="1"/>
  <c r="M77" i="11"/>
  <c r="M40" i="11"/>
  <c r="M79" i="11"/>
  <c r="M58" i="11" l="1"/>
  <c r="P58" i="11" s="1"/>
  <c r="M67" i="11"/>
  <c r="P67" i="11" s="1"/>
  <c r="M69" i="11"/>
  <c r="M70" i="11"/>
  <c r="M57" i="11" l="1"/>
  <c r="M50" i="11"/>
  <c r="M52" i="11"/>
  <c r="M54" i="11"/>
  <c r="M55" i="11"/>
  <c r="M60" i="11"/>
  <c r="M61" i="11"/>
  <c r="M66" i="11"/>
  <c r="M71" i="11"/>
  <c r="M73" i="11"/>
  <c r="M46" i="11" s="1"/>
  <c r="M74" i="11"/>
  <c r="M75" i="11"/>
  <c r="P75" i="11" s="1"/>
  <c r="M76" i="11"/>
  <c r="M78" i="11"/>
  <c r="M83" i="11"/>
  <c r="M85" i="11"/>
  <c r="P76" i="11" l="1"/>
  <c r="R76" i="11"/>
  <c r="M56" i="11"/>
  <c r="M45" i="11" s="1"/>
  <c r="Q86" i="11" l="1"/>
  <c r="M41" i="11"/>
  <c r="P41" i="11" s="1"/>
  <c r="J94" i="11"/>
  <c r="T26" i="11"/>
  <c r="T18" i="11"/>
  <c r="T4" i="11"/>
  <c r="R41" i="11" l="1"/>
  <c r="J93" i="11"/>
  <c r="J100" i="11" s="1"/>
  <c r="K86" i="11"/>
  <c r="S86" i="11"/>
  <c r="T3" i="11"/>
  <c r="J101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3" i="11"/>
  <c r="R167" i="11"/>
  <c r="R141" i="11"/>
  <c r="R139" i="11"/>
  <c r="R135" i="11"/>
  <c r="R132" i="11"/>
  <c r="T160" i="11"/>
  <c r="Q160" i="11"/>
  <c r="O160" i="11"/>
  <c r="O148" i="11" s="1"/>
  <c r="O147" i="11" s="1"/>
  <c r="T154" i="11"/>
  <c r="S154" i="11"/>
  <c r="Q154" i="11"/>
  <c r="L154" i="11"/>
  <c r="K154" i="11"/>
  <c r="T151" i="11"/>
  <c r="S151" i="11"/>
  <c r="L151" i="11"/>
  <c r="K151" i="11"/>
  <c r="T149" i="11"/>
  <c r="S149" i="11"/>
  <c r="Q149" i="11"/>
  <c r="L149" i="11"/>
  <c r="K149" i="11"/>
  <c r="T142" i="11"/>
  <c r="S142" i="11"/>
  <c r="Q142" i="11"/>
  <c r="O142" i="11"/>
  <c r="N142" i="11"/>
  <c r="N119" i="11" s="1"/>
  <c r="L142" i="11"/>
  <c r="K142" i="11"/>
  <c r="K138" i="11"/>
  <c r="T138" i="11"/>
  <c r="S138" i="11"/>
  <c r="Q138" i="11"/>
  <c r="O138" i="11"/>
  <c r="L138" i="11"/>
  <c r="L129" i="11"/>
  <c r="K129" i="11"/>
  <c r="T129" i="11"/>
  <c r="S129" i="11"/>
  <c r="Q129" i="11"/>
  <c r="O129" i="11"/>
  <c r="T127" i="11"/>
  <c r="S127" i="11"/>
  <c r="Q127" i="11"/>
  <c r="O127" i="11"/>
  <c r="L127" i="11"/>
  <c r="K127" i="11"/>
  <c r="J127" i="11"/>
  <c r="J119" i="11" s="1"/>
  <c r="J168" i="11" s="1"/>
  <c r="T123" i="11"/>
  <c r="S123" i="11"/>
  <c r="Q123" i="11"/>
  <c r="O123" i="11"/>
  <c r="L123" i="11"/>
  <c r="K123" i="11"/>
  <c r="T121" i="11"/>
  <c r="S121" i="11"/>
  <c r="Q121" i="11"/>
  <c r="O121" i="11"/>
  <c r="K119" i="11" l="1"/>
  <c r="Q148" i="11"/>
  <c r="Q147" i="11" s="1"/>
  <c r="S148" i="11"/>
  <c r="S147" i="11" s="1"/>
  <c r="T148" i="11"/>
  <c r="T147" i="11" s="1"/>
  <c r="K148" i="11"/>
  <c r="K147" i="11" s="1"/>
  <c r="L148" i="11"/>
  <c r="L147" i="11" s="1"/>
  <c r="M18" i="11"/>
  <c r="M4" i="11"/>
  <c r="M26" i="11"/>
  <c r="T119" i="11"/>
  <c r="O119" i="11"/>
  <c r="Q119" i="11"/>
  <c r="S119" i="11"/>
  <c r="M39" i="11"/>
  <c r="M36" i="11" s="1"/>
  <c r="P50" i="11"/>
  <c r="L121" i="11"/>
  <c r="L119" i="11" s="1"/>
  <c r="M150" i="11"/>
  <c r="M152" i="11"/>
  <c r="R152" i="11" s="1"/>
  <c r="M153" i="11"/>
  <c r="R153" i="11" s="1"/>
  <c r="M155" i="11"/>
  <c r="R155" i="11" s="1"/>
  <c r="M156" i="11"/>
  <c r="R156" i="11" s="1"/>
  <c r="M159" i="11"/>
  <c r="M157" i="11" s="1"/>
  <c r="M161" i="11"/>
  <c r="M162" i="11"/>
  <c r="P162" i="11" s="1"/>
  <c r="M167" i="11"/>
  <c r="M166" i="11" s="1"/>
  <c r="M124" i="11"/>
  <c r="R124" i="11" s="1"/>
  <c r="M125" i="11"/>
  <c r="R125" i="11" s="1"/>
  <c r="M126" i="11"/>
  <c r="R126" i="11" s="1"/>
  <c r="M128" i="11"/>
  <c r="M127" i="11" s="1"/>
  <c r="M130" i="11"/>
  <c r="M131" i="11"/>
  <c r="M132" i="11"/>
  <c r="M137" i="11"/>
  <c r="M139" i="11"/>
  <c r="M140" i="11"/>
  <c r="R140" i="11" s="1"/>
  <c r="M141" i="11"/>
  <c r="M144" i="11"/>
  <c r="R144" i="11" s="1"/>
  <c r="R145" i="11"/>
  <c r="M146" i="11"/>
  <c r="P146" i="11" s="1"/>
  <c r="M92" i="11"/>
  <c r="M96" i="11"/>
  <c r="M97" i="11"/>
  <c r="R59" i="11"/>
  <c r="P83" i="11"/>
  <c r="P43" i="11" l="1"/>
  <c r="M91" i="11"/>
  <c r="R92" i="11"/>
  <c r="M134" i="11"/>
  <c r="R137" i="11"/>
  <c r="P167" i="11"/>
  <c r="P166" i="11" s="1"/>
  <c r="M160" i="11"/>
  <c r="R160" i="11" s="1"/>
  <c r="M142" i="11"/>
  <c r="R142" i="11" s="1"/>
  <c r="R146" i="11"/>
  <c r="R162" i="11"/>
  <c r="R161" i="11"/>
  <c r="P161" i="11"/>
  <c r="O168" i="11"/>
  <c r="R143" i="11"/>
  <c r="M149" i="11"/>
  <c r="P150" i="11"/>
  <c r="P149" i="11" s="1"/>
  <c r="R150" i="11"/>
  <c r="R136" i="11"/>
  <c r="R130" i="11"/>
  <c r="P130" i="11"/>
  <c r="P131" i="11"/>
  <c r="R131" i="11"/>
  <c r="R127" i="11"/>
  <c r="R128" i="11"/>
  <c r="R121" i="11"/>
  <c r="R122" i="11"/>
  <c r="R157" i="11"/>
  <c r="R159" i="11"/>
  <c r="M129" i="11"/>
  <c r="R129" i="11" s="1"/>
  <c r="M138" i="11"/>
  <c r="R138" i="11" s="1"/>
  <c r="M154" i="11"/>
  <c r="R154" i="11" s="1"/>
  <c r="M123" i="11"/>
  <c r="M151" i="11"/>
  <c r="R151" i="11" s="1"/>
  <c r="R37" i="11"/>
  <c r="R5" i="11"/>
  <c r="R106" i="11"/>
  <c r="P137" i="11"/>
  <c r="P134" i="11" s="1"/>
  <c r="P120" i="11" s="1"/>
  <c r="K169" i="11"/>
  <c r="M148" i="11" l="1"/>
  <c r="M147" i="11" s="1"/>
  <c r="M120" i="11"/>
  <c r="R120" i="11" s="1"/>
  <c r="R134" i="11"/>
  <c r="R123" i="11"/>
  <c r="M119" i="11"/>
  <c r="R149" i="11"/>
  <c r="T168" i="11"/>
  <c r="S168" i="11"/>
  <c r="Q168" i="11"/>
  <c r="J87" i="11"/>
  <c r="J116" i="11" s="1"/>
  <c r="T169" i="11"/>
  <c r="S169" i="11"/>
  <c r="Q169" i="11"/>
  <c r="P156" i="11"/>
  <c r="P145" i="11"/>
  <c r="P144" i="11"/>
  <c r="P141" i="11"/>
  <c r="P140" i="11"/>
  <c r="P132" i="11"/>
  <c r="P129" i="11" s="1"/>
  <c r="P126" i="11"/>
  <c r="P125" i="11"/>
  <c r="P37" i="11"/>
  <c r="P38" i="11"/>
  <c r="P52" i="11"/>
  <c r="P53" i="11"/>
  <c r="P54" i="11"/>
  <c r="P55" i="11"/>
  <c r="P56" i="11"/>
  <c r="P57" i="11"/>
  <c r="P59" i="11"/>
  <c r="P60" i="11"/>
  <c r="P61" i="11"/>
  <c r="P66" i="11"/>
  <c r="P69" i="11"/>
  <c r="P70" i="11"/>
  <c r="P71" i="11"/>
  <c r="P72" i="11"/>
  <c r="P73" i="11"/>
  <c r="P46" i="11" s="1"/>
  <c r="P74" i="11"/>
  <c r="P77" i="11"/>
  <c r="P78" i="11"/>
  <c r="P79" i="11"/>
  <c r="P81" i="11"/>
  <c r="P82" i="11"/>
  <c r="P84" i="11"/>
  <c r="P47" i="11"/>
  <c r="P39" i="11"/>
  <c r="L169" i="11"/>
  <c r="L109" i="11"/>
  <c r="L104" i="11" s="1"/>
  <c r="L112" i="11" s="1"/>
  <c r="L115" i="11" s="1"/>
  <c r="K109" i="11"/>
  <c r="K104" i="11" s="1"/>
  <c r="K112" i="11" s="1"/>
  <c r="K115" i="11" s="1"/>
  <c r="L103" i="11"/>
  <c r="L111" i="11" s="1"/>
  <c r="K105" i="11"/>
  <c r="K103" i="11" s="1"/>
  <c r="K111" i="11" s="1"/>
  <c r="L95" i="11"/>
  <c r="L94" i="11" s="1"/>
  <c r="L93" i="11" s="1"/>
  <c r="K95" i="11"/>
  <c r="L90" i="11"/>
  <c r="K90" i="11"/>
  <c r="L87" i="11"/>
  <c r="K87" i="11"/>
  <c r="L86" i="11"/>
  <c r="L26" i="11"/>
  <c r="K26" i="11"/>
  <c r="L18" i="11"/>
  <c r="K18" i="11"/>
  <c r="L4" i="11"/>
  <c r="K4" i="11"/>
  <c r="J109" i="11"/>
  <c r="J108" i="11" s="1"/>
  <c r="J104" i="11" s="1"/>
  <c r="J112" i="11" s="1"/>
  <c r="J115" i="11" s="1"/>
  <c r="J111" i="11"/>
  <c r="J26" i="11"/>
  <c r="J18" i="11"/>
  <c r="O169" i="11"/>
  <c r="N45" i="11" l="1"/>
  <c r="N86" i="11" s="1"/>
  <c r="N88" i="11" s="1"/>
  <c r="L100" i="11"/>
  <c r="L101" i="11" s="1"/>
  <c r="P36" i="11"/>
  <c r="M169" i="11"/>
  <c r="K94" i="11"/>
  <c r="M95" i="11"/>
  <c r="J3" i="11"/>
  <c r="K116" i="11"/>
  <c r="K88" i="11"/>
  <c r="S170" i="11"/>
  <c r="R119" i="11"/>
  <c r="Q170" i="11"/>
  <c r="L88" i="11"/>
  <c r="L116" i="11"/>
  <c r="J170" i="11"/>
  <c r="P153" i="11"/>
  <c r="L168" i="11"/>
  <c r="L170" i="11" s="1"/>
  <c r="K168" i="11"/>
  <c r="K170" i="11" s="1"/>
  <c r="K113" i="11"/>
  <c r="L113" i="11"/>
  <c r="L3" i="11"/>
  <c r="L33" i="11" s="1"/>
  <c r="L34" i="11" s="1"/>
  <c r="K3" i="11"/>
  <c r="K33" i="11" s="1"/>
  <c r="K34" i="11" s="1"/>
  <c r="N168" i="11"/>
  <c r="J113" i="11"/>
  <c r="J88" i="11"/>
  <c r="R46" i="11"/>
  <c r="O87" i="11"/>
  <c r="M90" i="11"/>
  <c r="P97" i="11"/>
  <c r="S26" i="11"/>
  <c r="Q26" i="11"/>
  <c r="R26" i="11" s="1"/>
  <c r="O26" i="11"/>
  <c r="S18" i="11"/>
  <c r="Q18" i="11"/>
  <c r="O18" i="11"/>
  <c r="S4" i="11"/>
  <c r="Q4" i="11"/>
  <c r="O4" i="11"/>
  <c r="P85" i="11" l="1"/>
  <c r="P45" i="11" s="1"/>
  <c r="R45" i="11"/>
  <c r="K93" i="11"/>
  <c r="K100" i="11" s="1"/>
  <c r="M94" i="11"/>
  <c r="M3" i="11"/>
  <c r="L114" i="11"/>
  <c r="J33" i="11"/>
  <c r="O90" i="11"/>
  <c r="O86" i="11"/>
  <c r="P27" i="11"/>
  <c r="R43" i="11"/>
  <c r="M87" i="11"/>
  <c r="M116" i="11" s="1"/>
  <c r="O116" i="11"/>
  <c r="Q87" i="11"/>
  <c r="S87" i="11"/>
  <c r="T87" i="11"/>
  <c r="P152" i="11"/>
  <c r="P151" i="11" s="1"/>
  <c r="P155" i="11"/>
  <c r="P154" i="11" s="1"/>
  <c r="P159" i="11"/>
  <c r="P157" i="11" s="1"/>
  <c r="P160" i="11"/>
  <c r="P124" i="11"/>
  <c r="P123" i="11" s="1"/>
  <c r="P128" i="11"/>
  <c r="P127" i="11" s="1"/>
  <c r="P139" i="11"/>
  <c r="P138" i="11" s="1"/>
  <c r="P143" i="11"/>
  <c r="P142" i="11" s="1"/>
  <c r="P122" i="11"/>
  <c r="P121" i="11" s="1"/>
  <c r="S105" i="11"/>
  <c r="S111" i="11" s="1"/>
  <c r="R47" i="11"/>
  <c r="P92" i="11"/>
  <c r="P91" i="11" s="1"/>
  <c r="T90" i="11"/>
  <c r="S90" i="11"/>
  <c r="Q105" i="11"/>
  <c r="Q111" i="11" s="1"/>
  <c r="Q90" i="11"/>
  <c r="Q95" i="11"/>
  <c r="Q94" i="11" s="1"/>
  <c r="Q93" i="11" s="1"/>
  <c r="R96" i="11"/>
  <c r="O105" i="11"/>
  <c r="O103" i="11" s="1"/>
  <c r="M105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5" i="11"/>
  <c r="R84" i="11"/>
  <c r="R83" i="11"/>
  <c r="R82" i="11"/>
  <c r="R81" i="11"/>
  <c r="R79" i="11"/>
  <c r="R78" i="11"/>
  <c r="R77" i="11"/>
  <c r="R75" i="11"/>
  <c r="R74" i="11"/>
  <c r="R73" i="11"/>
  <c r="R72" i="11"/>
  <c r="R71" i="11"/>
  <c r="R70" i="11"/>
  <c r="R69" i="11"/>
  <c r="R67" i="11"/>
  <c r="R66" i="11"/>
  <c r="R60" i="11"/>
  <c r="R58" i="11"/>
  <c r="R57" i="11"/>
  <c r="R56" i="11"/>
  <c r="R55" i="11"/>
  <c r="R54" i="11"/>
  <c r="R53" i="11"/>
  <c r="R52" i="11"/>
  <c r="R50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6" i="11"/>
  <c r="P95" i="11" s="1"/>
  <c r="R110" i="11"/>
  <c r="R107" i="11"/>
  <c r="R97" i="11"/>
  <c r="T105" i="11"/>
  <c r="T103" i="11" s="1"/>
  <c r="O95" i="11"/>
  <c r="O94" i="11" s="1"/>
  <c r="O93" i="11" s="1"/>
  <c r="P19" i="11"/>
  <c r="P20" i="11"/>
  <c r="P21" i="11"/>
  <c r="P22" i="11"/>
  <c r="P23" i="11"/>
  <c r="P24" i="11"/>
  <c r="P25" i="11"/>
  <c r="P28" i="11"/>
  <c r="P29" i="11"/>
  <c r="P30" i="11"/>
  <c r="P31" i="11"/>
  <c r="N105" i="11"/>
  <c r="N109" i="11"/>
  <c r="N108" i="11" s="1"/>
  <c r="N104" i="11" s="1"/>
  <c r="P110" i="11"/>
  <c r="T109" i="11"/>
  <c r="T108" i="11" s="1"/>
  <c r="T104" i="11" s="1"/>
  <c r="T112" i="11" s="1"/>
  <c r="S109" i="11"/>
  <c r="S108" i="11" s="1"/>
  <c r="S104" i="11" s="1"/>
  <c r="S112" i="11" s="1"/>
  <c r="Q109" i="11"/>
  <c r="O109" i="11"/>
  <c r="O108" i="11" s="1"/>
  <c r="O104" i="11" s="1"/>
  <c r="O112" i="11" s="1"/>
  <c r="O115" i="11" s="1"/>
  <c r="M109" i="11"/>
  <c r="M108" i="11" s="1"/>
  <c r="T95" i="11"/>
  <c r="T94" i="11" s="1"/>
  <c r="T93" i="11" s="1"/>
  <c r="S95" i="11"/>
  <c r="S94" i="11" s="1"/>
  <c r="S93" i="11" s="1"/>
  <c r="R38" i="11"/>
  <c r="R39" i="11"/>
  <c r="Q100" i="11" l="1"/>
  <c r="O100" i="11"/>
  <c r="O101" i="11" s="1"/>
  <c r="J34" i="11"/>
  <c r="J114" i="11"/>
  <c r="N111" i="11"/>
  <c r="N103" i="11"/>
  <c r="M93" i="11"/>
  <c r="M100" i="11" s="1"/>
  <c r="P148" i="11"/>
  <c r="P147" i="11" s="1"/>
  <c r="P119" i="11"/>
  <c r="P105" i="11"/>
  <c r="R90" i="11"/>
  <c r="P169" i="11"/>
  <c r="L117" i="11"/>
  <c r="L171" i="11" s="1"/>
  <c r="M103" i="11"/>
  <c r="R105" i="11"/>
  <c r="P90" i="11"/>
  <c r="P18" i="11"/>
  <c r="P4" i="11"/>
  <c r="P26" i="11"/>
  <c r="T86" i="11"/>
  <c r="T88" i="11" s="1"/>
  <c r="O111" i="11"/>
  <c r="O113" i="11" s="1"/>
  <c r="P86" i="11"/>
  <c r="R91" i="11"/>
  <c r="R18" i="11"/>
  <c r="N170" i="11"/>
  <c r="N171" i="11" s="1"/>
  <c r="O3" i="11"/>
  <c r="O33" i="11" s="1"/>
  <c r="O34" i="11" s="1"/>
  <c r="N112" i="11"/>
  <c r="N115" i="11" s="1"/>
  <c r="P94" i="11"/>
  <c r="P93" i="11" s="1"/>
  <c r="R109" i="11"/>
  <c r="R169" i="11"/>
  <c r="T111" i="11"/>
  <c r="S103" i="11"/>
  <c r="Q103" i="11"/>
  <c r="R95" i="11"/>
  <c r="R36" i="11"/>
  <c r="O88" i="11"/>
  <c r="M86" i="11"/>
  <c r="M88" i="11" s="1"/>
  <c r="T33" i="11"/>
  <c r="S3" i="11"/>
  <c r="S33" i="11" s="1"/>
  <c r="S34" i="11" s="1"/>
  <c r="Q3" i="11"/>
  <c r="M33" i="11"/>
  <c r="M34" i="11" s="1"/>
  <c r="T116" i="11"/>
  <c r="S116" i="11"/>
  <c r="R94" i="11"/>
  <c r="N101" i="11"/>
  <c r="S113" i="11"/>
  <c r="S115" i="11"/>
  <c r="M104" i="11"/>
  <c r="M112" i="11" s="1"/>
  <c r="M115" i="11" s="1"/>
  <c r="P108" i="11"/>
  <c r="P104" i="11" s="1"/>
  <c r="P112" i="11" s="1"/>
  <c r="P115" i="11" s="1"/>
  <c r="T115" i="11"/>
  <c r="Q116" i="11"/>
  <c r="R116" i="11" s="1"/>
  <c r="R87" i="11"/>
  <c r="R4" i="11"/>
  <c r="P109" i="11"/>
  <c r="Q108" i="11"/>
  <c r="K101" i="11" l="1"/>
  <c r="K114" i="11"/>
  <c r="P168" i="11"/>
  <c r="P170" i="11" s="1"/>
  <c r="P3" i="11"/>
  <c r="P33" i="11" s="1"/>
  <c r="P34" i="11" s="1"/>
  <c r="P103" i="11"/>
  <c r="P111" i="11"/>
  <c r="R93" i="11"/>
  <c r="S88" i="11"/>
  <c r="T34" i="11"/>
  <c r="R103" i="11"/>
  <c r="J117" i="11"/>
  <c r="M111" i="11"/>
  <c r="R111" i="11" s="1"/>
  <c r="T170" i="11"/>
  <c r="O170" i="11"/>
  <c r="Q88" i="11"/>
  <c r="R88" i="11" s="1"/>
  <c r="P87" i="11"/>
  <c r="P116" i="11" s="1"/>
  <c r="R3" i="11"/>
  <c r="N113" i="11"/>
  <c r="T113" i="11"/>
  <c r="R86" i="11"/>
  <c r="Q33" i="11"/>
  <c r="R33" i="11" s="1"/>
  <c r="O114" i="11"/>
  <c r="O117" i="11" s="1"/>
  <c r="R108" i="11"/>
  <c r="Q104" i="11"/>
  <c r="J171" i="11" l="1"/>
  <c r="J173" i="11" s="1"/>
  <c r="O171" i="11"/>
  <c r="M101" i="11"/>
  <c r="M113" i="11"/>
  <c r="Q34" i="11"/>
  <c r="R34" i="11" s="1"/>
  <c r="M114" i="11"/>
  <c r="P88" i="11"/>
  <c r="R104" i="11"/>
  <c r="Q112" i="11"/>
  <c r="P113" i="11"/>
  <c r="M117" i="11" l="1"/>
  <c r="Q115" i="11"/>
  <c r="R112" i="11"/>
  <c r="Q113" i="11"/>
  <c r="R113" i="11" s="1"/>
  <c r="R115" i="11" l="1"/>
  <c r="R148" i="11" l="1"/>
  <c r="R147" i="11" l="1"/>
  <c r="M168" i="11"/>
  <c r="M170" i="11" s="1"/>
  <c r="M171" i="11" s="1"/>
  <c r="R168" i="11" l="1"/>
  <c r="R170" i="11" l="1"/>
  <c r="K117" i="11" l="1"/>
  <c r="K171" i="11" l="1"/>
  <c r="K173" i="11" s="1"/>
  <c r="L174" i="11" l="1"/>
  <c r="R100" i="11" l="1"/>
  <c r="P100" i="11"/>
  <c r="P101" i="11" s="1"/>
  <c r="P114" i="11" l="1"/>
  <c r="P117" i="11" s="1"/>
  <c r="P171" i="11" s="1"/>
  <c r="S100" i="11"/>
  <c r="S101" i="11" s="1"/>
  <c r="T100" i="11"/>
  <c r="S114" i="11" l="1"/>
  <c r="S117" i="11" s="1"/>
  <c r="S171" i="11" s="1"/>
  <c r="Q101" i="11"/>
  <c r="R101" i="11" s="1"/>
  <c r="Q114" i="11"/>
  <c r="T114" i="11"/>
  <c r="T117" i="11" s="1"/>
  <c r="T171" i="11" s="1"/>
  <c r="T101" i="11"/>
  <c r="Q117" i="11" l="1"/>
  <c r="R114" i="11"/>
  <c r="Q171" i="11" l="1"/>
  <c r="R171" i="11" s="1"/>
  <c r="R117" i="11"/>
</calcChain>
</file>

<file path=xl/sharedStrings.xml><?xml version="1.0" encoding="utf-8"?>
<sst xmlns="http://schemas.openxmlformats.org/spreadsheetml/2006/main" count="1171" uniqueCount="230">
  <si>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</si>
  <si>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</si>
  <si>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</si>
  <si>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</si>
  <si>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</si>
  <si>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</si>
  <si>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</si>
  <si>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</si>
  <si>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</si>
  <si>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</si>
  <si>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</si>
  <si>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</si>
  <si>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</si>
  <si>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</si>
  <si>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</si>
  <si>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</si>
  <si>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</si>
  <si>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</si>
  <si>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</si>
  <si>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</si>
  <si>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</si>
  <si>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</si>
  <si>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</si>
  <si>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</si>
  <si>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</si>
  <si>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</si>
  <si>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</si>
  <si>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</si>
  <si>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</si>
  <si>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</si>
  <si>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</si>
  <si>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</si>
  <si>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</si>
  <si>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</si>
  <si>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</si>
  <si>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</si>
  <si>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</si>
  <si>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</si>
  <si>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</si>
  <si>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</si>
  <si>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</si>
  <si>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</si>
  <si>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</si>
  <si>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</si>
  <si>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</si>
  <si>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</si>
  <si>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</si>
  <si>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</si>
  <si>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</si>
  <si>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</si>
  <si>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</si>
  <si>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</si>
  <si>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</si>
  <si>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</si>
  <si>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</si>
  <si>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</si>
  <si>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</si>
  <si>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</si>
  <si>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</si>
  <si>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</si>
  <si>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</si>
  <si>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</si>
  <si>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</si>
  <si>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</si>
  <si>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</si>
  <si>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</si>
  <si>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</si>
  <si>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</si>
  <si>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</si>
  <si>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</si>
  <si>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</si>
  <si>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</si>
  <si>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</si>
  <si>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</si>
  <si>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</si>
  <si>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</si>
  <si>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</si>
  <si>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</si>
  <si>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</si>
  <si>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</si>
  <si>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</si>
  <si>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</si>
  <si>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</si>
  <si>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</si>
  <si>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</si>
  <si>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</si>
  <si>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</si>
  <si>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</si>
  <si>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</si>
  <si>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</si>
  <si>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</si>
  <si>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</si>
  <si>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</si>
  <si>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</si>
  <si>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</si>
  <si>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</si>
  <si>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</si>
  <si>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</si>
  <si>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</si>
  <si>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</si>
  <si>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</si>
  <si>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</si>
  <si>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</si>
  <si>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</si>
  <si>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</si>
  <si>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</si>
  <si>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</si>
  <si>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DOTACIÓN (PRENDAS DE VESTIR Y CALZADO)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</si>
  <si>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</si>
  <si>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</si>
  <si>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</si>
  <si>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</si>
  <si>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</si>
  <si>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</si>
  <si>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</si>
  <si>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</si>
  <si>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</si>
  <si>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</si>
  <si>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</si>
  <si>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</si>
  <si>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</si>
  <si>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</si>
  <si>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</si>
  <si>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</si>
  <si>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</si>
  <si>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</si>
  <si>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</si>
  <si>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</si>
  <si>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</si>
  <si>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</si>
  <si>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</si>
  <si>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</si>
  <si>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</si>
  <si>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</si>
  <si>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</si>
  <si>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</si>
  <si>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</si>
  <si>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</si>
  <si>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APROPIA. INICIAL</t>
  </si>
  <si>
    <t>APR. ADICIONADA</t>
  </si>
  <si>
    <t>APR. REDUCIDA</t>
  </si>
  <si>
    <t>2901007</t>
  </si>
  <si>
    <t>2901002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</si>
  <si>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</si>
  <si>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</si>
  <si>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</si>
  <si>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</si>
  <si>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</si>
  <si>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</si>
  <si>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</si>
  <si>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</si>
  <si>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</si>
  <si>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</si>
  <si>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</si>
  <si>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</si>
  <si>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</si>
  <si>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</si>
  <si>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</si>
  <si>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</si>
  <si>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</si>
  <si>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</si>
  <si>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</si>
  <si>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</si>
  <si>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</si>
  <si>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</si>
  <si>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</si>
  <si>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</si>
  <si>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</si>
  <si>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</si>
  <si>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</si>
  <si>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</si>
  <si>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</si>
  <si>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</si>
  <si>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</si>
  <si>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</si>
  <si>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</si>
  <si>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</si>
  <si>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</si>
  <si>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</si>
  <si>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</si>
  <si>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</si>
  <si>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</si>
  <si>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</si>
  <si>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</si>
  <si>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</si>
  <si>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</si>
  <si>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</si>
  <si>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</si>
  <si>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</si>
  <si>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</si>
  <si>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</si>
  <si>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</si>
  <si>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</si>
  <si>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</si>
  <si>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</si>
  <si>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</si>
  <si>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</si>
  <si>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</si>
  <si>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</si>
  <si>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</si>
  <si>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</si>
  <si>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</si>
  <si>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PASTA O PULPA, PAPEL Y PRODUCTOS DE PAPEL; IMPRESOS Y ARTÍCULOS SIMILARES</t>
  </si>
  <si>
    <t>20111D</t>
  </si>
  <si>
    <t>20109C</t>
  </si>
  <si>
    <t>20113A</t>
  </si>
  <si>
    <t>53105B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</si>
  <si>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</si>
  <si>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</si>
  <si>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</si>
  <si>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INCAPACIDADES Y LICENCIAS DE MATERNIDAD Y PATERNIDAD(NO DE PENSIONES)</t>
  </si>
  <si>
    <t>FORTALECIMIENTO Y APOYO A LA GESTION INSTITUCIONAL DEL SECTOR FISCALIA</t>
  </si>
  <si>
    <t>APROP. BLOQUEADA</t>
  </si>
  <si>
    <t>PIEDRA, ARENA Y ARCILLA</t>
  </si>
  <si>
    <t>ADQUIS. DE BYS - SEDES ADECUADAS - MEJORAMIENTO DEL PARQUE AUTOMOTOR DEL INSTITUTO NACIONAL DE MEDICINA LEGAL Y CIENCIAS FORENSES A NIVEL  NACIONAL</t>
  </si>
  <si>
    <t>ADQUIS. DE BYS - SEDE CONSTRUIDA Y DOTADA - CONSTRUCCIÓN  Y DOTACIÓN DE LA SEDE DE MEDICINA LEGAL Y CIENCIAS FORENSES  SOACHA</t>
  </si>
  <si>
    <t>53105D</t>
  </si>
  <si>
    <t>CONSTRUIDA Y DOTADA - CONSTRUCCIÓN  Y DOTACIÓN DE LA SEDE DE MEDICINA LEGAL Y CIENCIAS FORENSES  SOACHA</t>
  </si>
  <si>
    <t>CONGRESO DE MEDICINA LEGAL Y CIENCIAS FORENSES</t>
  </si>
  <si>
    <t>066</t>
  </si>
  <si>
    <t>A ENTIDADES DEL GOBIERNO</t>
  </si>
  <si>
    <t>OTROS MINERALES</t>
  </si>
  <si>
    <t>PRODUCTOS DE MADERA, CORCHO, CESTERÍA Y ESPARTERÍA</t>
  </si>
  <si>
    <t>EQUIPO Y APARATOS DE RADIO, TELEVISIÓN Y COMUNICACIONES</t>
  </si>
  <si>
    <t>EQUIPO DE TRANSPORTE</t>
  </si>
  <si>
    <t>RUBRO</t>
  </si>
  <si>
    <t>ALEJAMIENTO; SERVICIOS DE SUMINISTROS DE COMIDAS Y BEBIDAS</t>
  </si>
  <si>
    <t>SENTENCIAS Y CONCILIACIONES</t>
  </si>
  <si>
    <t>Elaboro: Martha C. Florez Giraldo - Prof. Univ. Grupo Nacional de Gestión Presupuestal</t>
  </si>
  <si>
    <t>Fecha:Agosto-06-2026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</si>
</sst>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b/>
      <sz val="6"/>
      <color rgb="FFFF0000"/>
      <name val="Arial Narrow"/>
      <family val="2"/>
    </font>
    <font>
      <sz val="11"/>
      <color rgb="FFFF0000"/>
      <name val="Calibri"/>
      <family val="2"/>
    </font>
    <font>
      <sz val="6"/>
      <color theme="1"/>
      <name val="Arial Narrow"/>
      <family val="2"/>
    </font>
    <font>
      <sz val="5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4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4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0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9" fontId="22" fillId="0" borderId="1" xfId="0" applyNumberFormat="1" applyFont="1" applyBorder="1" applyAlignment="1">
      <alignment horizontal="center" vertical="center" wrapText="1" readingOrder="1"/>
    </xf>
    <xf numFmtId="164" fontId="24" fillId="5" borderId="1" xfId="1" applyFont="1" applyFill="1" applyBorder="1" applyAlignment="1">
      <alignment horizontal="right" vertical="center" wrapText="1" readingOrder="1"/>
    </xf>
    <xf numFmtId="164" fontId="8" fillId="0" borderId="30" xfId="1" applyFont="1" applyFill="1" applyBorder="1" applyAlignment="1">
      <alignment horizontal="right" vertical="center" wrapText="1" readingOrder="1"/>
    </xf>
    <xf numFmtId="0" fontId="25" fillId="4" borderId="0" xfId="0" applyFont="1" applyFill="1"/>
    <xf numFmtId="0" fontId="26" fillId="4" borderId="3" xfId="0" applyFont="1" applyFill="1" applyBorder="1" applyAlignment="1">
      <alignment horizontal="center" vertical="center" wrapText="1" readingOrder="1"/>
    </xf>
    <xf numFmtId="0" fontId="26" fillId="4" borderId="1" xfId="0" applyFont="1" applyFill="1" applyBorder="1" applyAlignment="1">
      <alignment horizontal="center" vertical="center" wrapText="1" readingOrder="1"/>
    </xf>
    <xf numFmtId="49" fontId="26" fillId="4" borderId="1" xfId="0" applyNumberFormat="1" applyFont="1" applyFill="1" applyBorder="1" applyAlignment="1">
      <alignment horizontal="center" vertical="center" wrapText="1" readingOrder="1"/>
    </xf>
    <xf numFmtId="0" fontId="26" fillId="4" borderId="1" xfId="0" applyFont="1" applyFill="1" applyBorder="1" applyAlignment="1">
      <alignment vertical="center" wrapText="1" readingOrder="1"/>
    </xf>
    <xf numFmtId="0" fontId="27" fillId="4" borderId="1" xfId="0" applyFont="1" applyFill="1" applyBorder="1" applyAlignment="1">
      <alignment horizontal="center" vertical="center" wrapText="1" readingOrder="1"/>
    </xf>
    <xf numFmtId="164" fontId="26" fillId="0" borderId="1" xfId="1" applyFont="1" applyFill="1" applyBorder="1" applyAlignment="1">
      <alignment horizontal="right" vertical="center" wrapText="1" readingOrder="1"/>
    </xf>
    <xf numFmtId="164" fontId="26" fillId="4" borderId="1" xfId="1" applyFont="1" applyFill="1" applyBorder="1" applyAlignment="1">
      <alignment horizontal="right" vertical="center" wrapText="1" readingOrder="1"/>
    </xf>
    <xf numFmtId="10" fontId="26" fillId="4" borderId="1" xfId="4" applyNumberFormat="1" applyFont="1" applyFill="1" applyBorder="1" applyAlignment="1">
      <alignment horizontal="right" vertical="center" wrapText="1" readingOrder="1"/>
    </xf>
    <xf numFmtId="164" fontId="26" fillId="4" borderId="2" xfId="1" applyFont="1" applyFill="1" applyBorder="1" applyAlignment="1">
      <alignment horizontal="right" vertical="center" wrapText="1" readingOrder="1"/>
    </xf>
    <xf numFmtId="164" fontId="24" fillId="3" borderId="1" xfId="1" applyFont="1" applyFill="1" applyBorder="1" applyAlignment="1">
      <alignment horizontal="right" vertical="center" wrapText="1" readingOrder="1"/>
    </xf>
    <xf numFmtId="0" fontId="9" fillId="3" borderId="26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10" fillId="2" borderId="29" xfId="2" applyFont="1" applyFill="1" applyBorder="1" applyAlignment="1">
      <alignment horizontal="center" vertical="center" wrapText="1"/>
    </xf>
    <xf numFmtId="0" fontId="10" fillId="2" borderId="24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5" borderId="21" xfId="2" applyFont="1" applyFill="1" applyBorder="1" applyAlignment="1">
      <alignment horizontal="center" vertical="center" wrapText="1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10" fillId="3" borderId="15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9" fillId="5" borderId="15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Y177"/>
  <sheetViews>
    <sheetView showGridLines="0" tabSelected="1" zoomScale="140" zoomScaleNormal="140" workbookViewId="0">
      <selection sqref="A1:F1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8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31" t="s">
        <v>225</v>
      </c>
      <c r="B1" s="132"/>
      <c r="C1" s="132"/>
      <c r="D1" s="132"/>
      <c r="E1" s="132"/>
      <c r="F1" s="133"/>
      <c r="G1" s="83" t="s">
        <v>0</v>
      </c>
      <c r="H1" s="83" t="s">
        <v>1</v>
      </c>
      <c r="I1" s="83" t="s">
        <v>2</v>
      </c>
      <c r="J1" s="93" t="s">
        <v>138</v>
      </c>
      <c r="K1" s="93" t="s">
        <v>139</v>
      </c>
      <c r="L1" s="93" t="s">
        <v>140</v>
      </c>
      <c r="M1" s="83" t="s">
        <v>33</v>
      </c>
      <c r="N1" s="83" t="s">
        <v>212</v>
      </c>
      <c r="O1" s="83" t="s">
        <v>20</v>
      </c>
      <c r="P1" s="83" t="s">
        <v>21</v>
      </c>
      <c r="Q1" s="83" t="s">
        <v>22</v>
      </c>
      <c r="R1" s="83" t="s">
        <v>24</v>
      </c>
      <c r="S1" s="83" t="s">
        <v>23</v>
      </c>
      <c r="T1" s="58" t="s">
        <v>26</v>
      </c>
    </row>
    <row r="2" spans="1:20" s="4" customFormat="1" ht="14.25" customHeight="1" thickTop="1" thickBot="1" x14ac:dyDescent="0.3">
      <c r="A2" s="128" t="s">
        <v>86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30"/>
    </row>
    <row r="3" spans="1:20" s="6" customFormat="1" ht="17.25" customHeight="1" x14ac:dyDescent="0.25">
      <c r="A3" s="11" t="s">
        <v>3</v>
      </c>
      <c r="B3" s="68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349572344000</v>
      </c>
      <c r="K3" s="37">
        <f t="shared" ref="K3:L3" si="0">K4+K18+K26</f>
        <v>949681253</v>
      </c>
      <c r="L3" s="99">
        <f t="shared" si="0"/>
        <v>949681253</v>
      </c>
      <c r="M3" s="99">
        <f>M4+M18+M26</f>
        <v>349572344000</v>
      </c>
      <c r="N3" s="37">
        <f>N4+N18+N26</f>
        <v>0</v>
      </c>
      <c r="O3" s="37">
        <f>O4+O18+O26</f>
        <v>190344856637</v>
      </c>
      <c r="P3" s="99">
        <f>P4+P18+P26</f>
        <v>159227487363</v>
      </c>
      <c r="Q3" s="37">
        <f>Q4+Q18+Q26</f>
        <v>190344856637</v>
      </c>
      <c r="R3" s="38">
        <f t="shared" ref="R3:R34" si="1">IF(Q3&gt;1,Q3/(M3-N3),0)</f>
        <v>0.54450776757385588</v>
      </c>
      <c r="S3" s="37">
        <f>S4+S18+S26</f>
        <v>186813147926</v>
      </c>
      <c r="T3" s="39">
        <f>T4+T18+T26</f>
        <v>186813147926</v>
      </c>
    </row>
    <row r="4" spans="1:20" s="6" customFormat="1" ht="16.5" customHeight="1" x14ac:dyDescent="0.25">
      <c r="A4" s="11" t="s">
        <v>3</v>
      </c>
      <c r="B4" s="68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234438279000</v>
      </c>
      <c r="K4" s="24">
        <f t="shared" ref="K4:L4" si="2">SUM(K5:K17)</f>
        <v>588181253</v>
      </c>
      <c r="L4" s="24">
        <f t="shared" si="2"/>
        <v>588181253</v>
      </c>
      <c r="M4" s="24">
        <f>SUM(M5:M17)</f>
        <v>234438279000</v>
      </c>
      <c r="N4" s="24">
        <f>SUM(N5:N17)</f>
        <v>0</v>
      </c>
      <c r="O4" s="24">
        <f>SUM(O5:O17)</f>
        <v>128380713134</v>
      </c>
      <c r="P4" s="24">
        <f>SUM(P5:P17)</f>
        <v>106057565866</v>
      </c>
      <c r="Q4" s="24">
        <f>SUM(Q5:Q17)</f>
        <v>128380713134</v>
      </c>
      <c r="R4" s="92">
        <f t="shared" si="1"/>
        <v>0.54760985996659706</v>
      </c>
      <c r="S4" s="14">
        <f>SUM(S5:S17)</f>
        <v>128376591023</v>
      </c>
      <c r="T4" s="33">
        <f>SUM(T5:T17)</f>
        <v>128376591023</v>
      </c>
    </row>
    <row r="5" spans="1:20" s="6" customFormat="1" ht="15" customHeight="1" x14ac:dyDescent="0.25">
      <c r="A5" s="7" t="s">
        <v>3</v>
      </c>
      <c r="B5" s="62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171029890100</v>
      </c>
      <c r="K5" s="9"/>
      <c r="L5" s="27">
        <f>290000000+200000000</f>
        <v>490000000</v>
      </c>
      <c r="M5" s="27">
        <f>J5+K5-L5</f>
        <v>170539890100</v>
      </c>
      <c r="N5" s="9">
        <v>0</v>
      </c>
      <c r="O5" s="9">
        <v>98685109833</v>
      </c>
      <c r="P5" s="27">
        <f t="shared" ref="P5:P17" si="3">+M5-O5-N5</f>
        <v>71854780267</v>
      </c>
      <c r="Q5" s="9">
        <v>98685109833</v>
      </c>
      <c r="R5" s="25">
        <f>IF(Q5&gt;1,Q5/(M5-N5),0)</f>
        <v>0.57866291443681417</v>
      </c>
      <c r="S5" s="9">
        <v>98680987722</v>
      </c>
      <c r="T5" s="10">
        <v>98680987722</v>
      </c>
    </row>
    <row r="6" spans="1:20" s="6" customFormat="1" ht="15" customHeight="1" x14ac:dyDescent="0.25">
      <c r="A6" s="7" t="s">
        <v>3</v>
      </c>
      <c r="B6" s="62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3368477200</v>
      </c>
      <c r="K6" s="9"/>
      <c r="L6" s="27"/>
      <c r="M6" s="27">
        <f t="shared" ref="M6:M17" si="4">J6+K6-L6</f>
        <v>3368477200</v>
      </c>
      <c r="N6" s="9">
        <v>0</v>
      </c>
      <c r="O6" s="9">
        <v>2039816682</v>
      </c>
      <c r="P6" s="27">
        <f t="shared" si="3"/>
        <v>1328660518</v>
      </c>
      <c r="Q6" s="9">
        <v>2039816682</v>
      </c>
      <c r="R6" s="25">
        <f t="shared" si="1"/>
        <v>0.60556048353244007</v>
      </c>
      <c r="S6" s="9">
        <v>2039816682</v>
      </c>
      <c r="T6" s="10">
        <v>2039816682</v>
      </c>
    </row>
    <row r="7" spans="1:20" s="6" customFormat="1" ht="16.5" customHeight="1" x14ac:dyDescent="0.25">
      <c r="A7" s="7" t="s">
        <v>3</v>
      </c>
      <c r="B7" s="62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2003160000</v>
      </c>
      <c r="K7" s="9">
        <v>290000000</v>
      </c>
      <c r="L7" s="27"/>
      <c r="M7" s="27">
        <f t="shared" si="4"/>
        <v>2293160000</v>
      </c>
      <c r="N7" s="9">
        <v>0</v>
      </c>
      <c r="O7" s="9">
        <v>1136040200</v>
      </c>
      <c r="P7" s="27">
        <f t="shared" si="3"/>
        <v>1157119800</v>
      </c>
      <c r="Q7" s="9">
        <v>1136040200</v>
      </c>
      <c r="R7" s="25">
        <f t="shared" si="1"/>
        <v>0.4954038095902597</v>
      </c>
      <c r="S7" s="9">
        <v>1136040200</v>
      </c>
      <c r="T7" s="10">
        <v>1136040200</v>
      </c>
    </row>
    <row r="8" spans="1:20" s="6" customFormat="1" ht="15" customHeight="1" x14ac:dyDescent="0.25">
      <c r="A8" s="7" t="s">
        <v>3</v>
      </c>
      <c r="B8" s="62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118207300</v>
      </c>
      <c r="K8" s="9"/>
      <c r="L8" s="27"/>
      <c r="M8" s="27">
        <f t="shared" si="4"/>
        <v>118207300</v>
      </c>
      <c r="N8" s="9">
        <v>0</v>
      </c>
      <c r="O8" s="9">
        <v>99077799</v>
      </c>
      <c r="P8" s="27">
        <f t="shared" si="3"/>
        <v>19129501</v>
      </c>
      <c r="Q8" s="9">
        <v>99077799</v>
      </c>
      <c r="R8" s="25">
        <f t="shared" si="1"/>
        <v>0.83816988460103559</v>
      </c>
      <c r="S8" s="9">
        <v>99077799</v>
      </c>
      <c r="T8" s="10">
        <v>99077799</v>
      </c>
    </row>
    <row r="9" spans="1:20" s="6" customFormat="1" ht="15" customHeight="1" x14ac:dyDescent="0.25">
      <c r="A9" s="7" t="s">
        <v>3</v>
      </c>
      <c r="B9" s="62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495633000</v>
      </c>
      <c r="K9" s="9">
        <v>98181253</v>
      </c>
      <c r="L9" s="27"/>
      <c r="M9" s="27">
        <f t="shared" si="4"/>
        <v>593814253</v>
      </c>
      <c r="N9" s="9">
        <v>0</v>
      </c>
      <c r="O9" s="9">
        <v>530804856</v>
      </c>
      <c r="P9" s="27">
        <f t="shared" si="3"/>
        <v>63009397</v>
      </c>
      <c r="Q9" s="9">
        <v>530804856</v>
      </c>
      <c r="R9" s="25">
        <f t="shared" si="1"/>
        <v>0.89389039302833984</v>
      </c>
      <c r="S9" s="9">
        <v>530804856</v>
      </c>
      <c r="T9" s="10">
        <v>530804856</v>
      </c>
    </row>
    <row r="10" spans="1:20" s="6" customFormat="1" ht="15" customHeight="1" x14ac:dyDescent="0.25">
      <c r="A10" s="7" t="s">
        <v>3</v>
      </c>
      <c r="B10" s="62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8112947300</v>
      </c>
      <c r="K10" s="9">
        <v>200000000</v>
      </c>
      <c r="L10" s="27"/>
      <c r="M10" s="27">
        <f t="shared" si="4"/>
        <v>8312947300</v>
      </c>
      <c r="N10" s="9">
        <v>0</v>
      </c>
      <c r="O10" s="9">
        <v>8252930083</v>
      </c>
      <c r="P10" s="27">
        <f t="shared" si="3"/>
        <v>60017217</v>
      </c>
      <c r="Q10" s="9">
        <v>8252930083</v>
      </c>
      <c r="R10" s="25">
        <f t="shared" si="1"/>
        <v>0.99278027216652753</v>
      </c>
      <c r="S10" s="9">
        <v>8252930083</v>
      </c>
      <c r="T10" s="10">
        <v>8252930083</v>
      </c>
    </row>
    <row r="11" spans="1:20" s="6" customFormat="1" ht="16.5" customHeight="1" x14ac:dyDescent="0.25">
      <c r="A11" s="7" t="s">
        <v>3</v>
      </c>
      <c r="B11" s="62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5605238900</v>
      </c>
      <c r="K11" s="9"/>
      <c r="L11" s="27"/>
      <c r="M11" s="27">
        <f t="shared" si="4"/>
        <v>5605238900</v>
      </c>
      <c r="N11" s="9">
        <v>0</v>
      </c>
      <c r="O11" s="9">
        <v>3716168533</v>
      </c>
      <c r="P11" s="27">
        <f t="shared" si="3"/>
        <v>1889070367</v>
      </c>
      <c r="Q11" s="9">
        <v>3716168533</v>
      </c>
      <c r="R11" s="25">
        <f t="shared" si="1"/>
        <v>0.66298129291152963</v>
      </c>
      <c r="S11" s="9">
        <v>3716168533</v>
      </c>
      <c r="T11" s="10">
        <v>3716168533</v>
      </c>
    </row>
    <row r="12" spans="1:20" s="6" customFormat="1" ht="16.5" customHeight="1" x14ac:dyDescent="0.25">
      <c r="A12" s="7" t="s">
        <v>3</v>
      </c>
      <c r="B12" s="62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1463012500</v>
      </c>
      <c r="K12" s="9"/>
      <c r="L12" s="27"/>
      <c r="M12" s="27">
        <f t="shared" si="4"/>
        <v>1463012500</v>
      </c>
      <c r="N12" s="9">
        <v>0</v>
      </c>
      <c r="O12" s="9">
        <v>1048351616</v>
      </c>
      <c r="P12" s="27">
        <f t="shared" si="3"/>
        <v>414660884</v>
      </c>
      <c r="Q12" s="9">
        <v>1048351616</v>
      </c>
      <c r="R12" s="25">
        <f t="shared" si="1"/>
        <v>0.71657051187190812</v>
      </c>
      <c r="S12" s="9">
        <v>1048351616</v>
      </c>
      <c r="T12" s="10">
        <v>1048351616</v>
      </c>
    </row>
    <row r="13" spans="1:20" s="6" customFormat="1" ht="16.5" customHeight="1" x14ac:dyDescent="0.25">
      <c r="A13" s="7" t="s">
        <v>3</v>
      </c>
      <c r="B13" s="62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18145035800</v>
      </c>
      <c r="K13" s="9"/>
      <c r="L13" s="27">
        <v>82300000</v>
      </c>
      <c r="M13" s="27">
        <f t="shared" si="4"/>
        <v>18062735800</v>
      </c>
      <c r="N13" s="9">
        <v>0</v>
      </c>
      <c r="O13" s="9">
        <v>162389555</v>
      </c>
      <c r="P13" s="27">
        <f t="shared" si="3"/>
        <v>17900346245</v>
      </c>
      <c r="Q13" s="9">
        <v>162389555</v>
      </c>
      <c r="R13" s="25">
        <f t="shared" si="1"/>
        <v>8.9903078247980574E-3</v>
      </c>
      <c r="S13" s="9">
        <v>162389555</v>
      </c>
      <c r="T13" s="10">
        <v>162389555</v>
      </c>
    </row>
    <row r="14" spans="1:20" s="6" customFormat="1" ht="16.5" customHeight="1" x14ac:dyDescent="0.25">
      <c r="A14" s="7" t="s">
        <v>3</v>
      </c>
      <c r="B14" s="62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9194783600</v>
      </c>
      <c r="K14" s="9"/>
      <c r="L14" s="27"/>
      <c r="M14" s="27">
        <f t="shared" si="4"/>
        <v>9194783600</v>
      </c>
      <c r="N14" s="9">
        <v>0</v>
      </c>
      <c r="O14" s="9">
        <v>4509512275</v>
      </c>
      <c r="P14" s="27">
        <f t="shared" si="3"/>
        <v>4685271325</v>
      </c>
      <c r="Q14" s="9">
        <v>4509512275</v>
      </c>
      <c r="R14" s="25">
        <f t="shared" si="1"/>
        <v>0.49044245859141261</v>
      </c>
      <c r="S14" s="9">
        <v>4509512275</v>
      </c>
      <c r="T14" s="48">
        <v>4509512275</v>
      </c>
    </row>
    <row r="15" spans="1:20" s="6" customFormat="1" ht="16.5" customHeight="1" x14ac:dyDescent="0.25">
      <c r="A15" s="7" t="s">
        <v>3</v>
      </c>
      <c r="B15" s="62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40253000</v>
      </c>
      <c r="K15" s="9"/>
      <c r="L15" s="27"/>
      <c r="M15" s="27">
        <f t="shared" si="4"/>
        <v>40253000</v>
      </c>
      <c r="N15" s="9">
        <v>0</v>
      </c>
      <c r="O15" s="9">
        <v>22549330</v>
      </c>
      <c r="P15" s="27">
        <f t="shared" si="3"/>
        <v>17703670</v>
      </c>
      <c r="Q15" s="9">
        <v>22549330</v>
      </c>
      <c r="R15" s="25">
        <f t="shared" si="1"/>
        <v>0.56019004794673688</v>
      </c>
      <c r="S15" s="9">
        <v>22549330</v>
      </c>
      <c r="T15" s="48">
        <v>22549330</v>
      </c>
    </row>
    <row r="16" spans="1:20" s="6" customFormat="1" ht="16.5" customHeight="1" x14ac:dyDescent="0.25">
      <c r="A16" s="7" t="s">
        <v>3</v>
      </c>
      <c r="B16" s="62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17544200</v>
      </c>
      <c r="K16" s="9"/>
      <c r="L16" s="27">
        <v>15881253</v>
      </c>
      <c r="M16" s="27">
        <f t="shared" si="4"/>
        <v>1662947</v>
      </c>
      <c r="N16" s="27">
        <v>0</v>
      </c>
      <c r="O16" s="9">
        <v>1662947</v>
      </c>
      <c r="P16" s="27">
        <f t="shared" si="3"/>
        <v>0</v>
      </c>
      <c r="Q16" s="9">
        <v>1662947</v>
      </c>
      <c r="R16" s="25">
        <f t="shared" si="1"/>
        <v>1</v>
      </c>
      <c r="S16" s="9">
        <v>1662947</v>
      </c>
      <c r="T16" s="48">
        <v>1662947</v>
      </c>
    </row>
    <row r="17" spans="1:21" s="6" customFormat="1" ht="16.5" customHeight="1" x14ac:dyDescent="0.25">
      <c r="A17" s="7" t="s">
        <v>3</v>
      </c>
      <c r="B17" s="62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14844096100</v>
      </c>
      <c r="K17" s="9"/>
      <c r="L17" s="27"/>
      <c r="M17" s="27">
        <f t="shared" si="4"/>
        <v>14844096100</v>
      </c>
      <c r="N17" s="9">
        <v>0</v>
      </c>
      <c r="O17" s="9">
        <v>8176299425</v>
      </c>
      <c r="P17" s="27">
        <f t="shared" si="3"/>
        <v>6667796675</v>
      </c>
      <c r="Q17" s="9">
        <v>8176299425</v>
      </c>
      <c r="R17" s="25">
        <f t="shared" si="1"/>
        <v>0.55081153947797468</v>
      </c>
      <c r="S17" s="27">
        <v>8176299425</v>
      </c>
      <c r="T17" s="48">
        <v>8176299425</v>
      </c>
    </row>
    <row r="18" spans="1:21" s="45" customFormat="1" ht="16.5" customHeight="1" x14ac:dyDescent="0.25">
      <c r="A18" s="11" t="s">
        <v>3</v>
      </c>
      <c r="B18" s="68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3">
        <v>10</v>
      </c>
      <c r="J18" s="24">
        <f>SUM(J19:J25)</f>
        <v>96379995000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96379995000</v>
      </c>
      <c r="N18" s="14">
        <f>SUM(N19:N25)</f>
        <v>0</v>
      </c>
      <c r="O18" s="14">
        <f>SUM(O19:O25)</f>
        <v>52723785728</v>
      </c>
      <c r="P18" s="24">
        <f>SUM(P19:P25)</f>
        <v>43656209272</v>
      </c>
      <c r="Q18" s="14">
        <f>SUM(Q19:Q25)</f>
        <v>52723785728</v>
      </c>
      <c r="R18" s="26">
        <f t="shared" si="1"/>
        <v>0.54704076014944802</v>
      </c>
      <c r="S18" s="14">
        <f>SUM(S19:S25)</f>
        <v>49196199128</v>
      </c>
      <c r="T18" s="22">
        <f>SUM(T19:T25)</f>
        <v>49196199128</v>
      </c>
      <c r="U18" s="102"/>
    </row>
    <row r="19" spans="1:21" s="6" customFormat="1" ht="16.5" customHeight="1" x14ac:dyDescent="0.25">
      <c r="A19" s="7" t="s">
        <v>3</v>
      </c>
      <c r="B19" s="62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195</v>
      </c>
      <c r="H19" s="7" t="s">
        <v>5</v>
      </c>
      <c r="I19" s="8">
        <v>10</v>
      </c>
      <c r="J19" s="9">
        <v>25795744700</v>
      </c>
      <c r="K19" s="9"/>
      <c r="L19" s="27"/>
      <c r="M19" s="27">
        <f>J19+K19-L19</f>
        <v>25795744700</v>
      </c>
      <c r="N19" s="27">
        <v>0</v>
      </c>
      <c r="O19" s="9">
        <v>15080756300</v>
      </c>
      <c r="P19" s="27">
        <f t="shared" ref="P19:P25" si="6">+M19-O19-N19</f>
        <v>10714988400</v>
      </c>
      <c r="Q19" s="9">
        <v>15080756300</v>
      </c>
      <c r="R19" s="25">
        <f t="shared" si="1"/>
        <v>0.58462186207014211</v>
      </c>
      <c r="S19" s="9">
        <v>15080756300</v>
      </c>
      <c r="T19" s="48">
        <v>15080756300</v>
      </c>
    </row>
    <row r="20" spans="1:21" s="6" customFormat="1" ht="16.5" customHeight="1" x14ac:dyDescent="0.25">
      <c r="A20" s="7" t="s">
        <v>3</v>
      </c>
      <c r="B20" s="62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196</v>
      </c>
      <c r="H20" s="7" t="s">
        <v>5</v>
      </c>
      <c r="I20" s="8">
        <v>10</v>
      </c>
      <c r="J20" s="9">
        <v>18459485800</v>
      </c>
      <c r="K20" s="9"/>
      <c r="L20" s="27"/>
      <c r="M20" s="27">
        <f t="shared" ref="M20:M24" si="7">J20+K20-L20</f>
        <v>18459485800</v>
      </c>
      <c r="N20" s="9">
        <v>0</v>
      </c>
      <c r="O20" s="9">
        <v>10609643700</v>
      </c>
      <c r="P20" s="27">
        <f t="shared" si="6"/>
        <v>7849842100</v>
      </c>
      <c r="Q20" s="9">
        <v>10609643700</v>
      </c>
      <c r="R20" s="25">
        <f t="shared" si="1"/>
        <v>0.57475293813438721</v>
      </c>
      <c r="S20" s="9">
        <v>10609643700</v>
      </c>
      <c r="T20" s="48">
        <v>10609643700</v>
      </c>
    </row>
    <row r="21" spans="1:21" s="6" customFormat="1" ht="16.5" customHeight="1" x14ac:dyDescent="0.25">
      <c r="A21" s="7" t="s">
        <v>3</v>
      </c>
      <c r="B21" s="62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104</v>
      </c>
      <c r="H21" s="7" t="s">
        <v>5</v>
      </c>
      <c r="I21" s="8">
        <v>10</v>
      </c>
      <c r="J21" s="9">
        <v>21878763500</v>
      </c>
      <c r="K21" s="9"/>
      <c r="L21" s="27"/>
      <c r="M21" s="27">
        <f t="shared" si="7"/>
        <v>21878763500</v>
      </c>
      <c r="N21" s="9">
        <v>0</v>
      </c>
      <c r="O21" s="9">
        <v>5442791728</v>
      </c>
      <c r="P21" s="27">
        <f t="shared" si="6"/>
        <v>16435971772</v>
      </c>
      <c r="Q21" s="9">
        <v>5442791728</v>
      </c>
      <c r="R21" s="25">
        <f t="shared" si="1"/>
        <v>0.2487705362325435</v>
      </c>
      <c r="S21" s="9">
        <v>5442791728</v>
      </c>
      <c r="T21" s="48">
        <v>5442791728</v>
      </c>
    </row>
    <row r="22" spans="1:21" s="6" customFormat="1" ht="16.5" customHeight="1" x14ac:dyDescent="0.25">
      <c r="A22" s="7" t="s">
        <v>3</v>
      </c>
      <c r="B22" s="62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197</v>
      </c>
      <c r="H22" s="7" t="s">
        <v>5</v>
      </c>
      <c r="I22" s="8">
        <v>10</v>
      </c>
      <c r="J22" s="9">
        <v>9372572600</v>
      </c>
      <c r="K22" s="9"/>
      <c r="L22" s="27"/>
      <c r="M22" s="27">
        <f t="shared" si="7"/>
        <v>9372572600</v>
      </c>
      <c r="N22" s="9">
        <v>0</v>
      </c>
      <c r="O22" s="9">
        <v>5532051700</v>
      </c>
      <c r="P22" s="27">
        <f t="shared" si="6"/>
        <v>3840520900</v>
      </c>
      <c r="Q22" s="9">
        <v>5532051700</v>
      </c>
      <c r="R22" s="25">
        <f t="shared" si="1"/>
        <v>0.59023834075182302</v>
      </c>
      <c r="S22" s="9">
        <v>5532051700</v>
      </c>
      <c r="T22" s="48">
        <v>5532051700</v>
      </c>
    </row>
    <row r="23" spans="1:21" s="6" customFormat="1" ht="16.5" customHeight="1" x14ac:dyDescent="0.25">
      <c r="A23" s="7" t="s">
        <v>3</v>
      </c>
      <c r="B23" s="62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9142712700</v>
      </c>
      <c r="K23" s="9"/>
      <c r="L23" s="27"/>
      <c r="M23" s="27">
        <f t="shared" si="7"/>
        <v>9142712700</v>
      </c>
      <c r="N23" s="9">
        <v>0</v>
      </c>
      <c r="O23" s="9">
        <v>9142712700</v>
      </c>
      <c r="P23" s="27">
        <f t="shared" si="6"/>
        <v>0</v>
      </c>
      <c r="Q23" s="9">
        <v>9142712700</v>
      </c>
      <c r="R23" s="25">
        <f t="shared" si="1"/>
        <v>1</v>
      </c>
      <c r="S23" s="9">
        <v>5615126100</v>
      </c>
      <c r="T23" s="48">
        <v>5615126100</v>
      </c>
    </row>
    <row r="24" spans="1:21" s="6" customFormat="1" ht="16.5" customHeight="1" x14ac:dyDescent="0.25">
      <c r="A24" s="7" t="s">
        <v>3</v>
      </c>
      <c r="B24" s="62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6994429400</v>
      </c>
      <c r="K24" s="9"/>
      <c r="L24" s="27"/>
      <c r="M24" s="27">
        <f t="shared" si="7"/>
        <v>6994429400</v>
      </c>
      <c r="N24" s="9">
        <v>0</v>
      </c>
      <c r="O24" s="9">
        <v>4149317300</v>
      </c>
      <c r="P24" s="27">
        <f t="shared" si="6"/>
        <v>2845112100</v>
      </c>
      <c r="Q24" s="9">
        <v>4149317300</v>
      </c>
      <c r="R24" s="25">
        <f t="shared" si="1"/>
        <v>0.59323170807900361</v>
      </c>
      <c r="S24" s="9">
        <v>4149317300</v>
      </c>
      <c r="T24" s="48">
        <v>4149317300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4736286300</v>
      </c>
      <c r="K25" s="9"/>
      <c r="L25" s="27"/>
      <c r="M25" s="27">
        <f>J25+K25-L25</f>
        <v>4736286300</v>
      </c>
      <c r="N25" s="9">
        <v>0</v>
      </c>
      <c r="O25" s="9">
        <v>2766512300</v>
      </c>
      <c r="P25" s="27">
        <f t="shared" si="6"/>
        <v>1969774000</v>
      </c>
      <c r="Q25" s="9">
        <v>2766512300</v>
      </c>
      <c r="R25" s="25">
        <f t="shared" si="1"/>
        <v>0.58411002307863025</v>
      </c>
      <c r="S25" s="9">
        <v>2766512300</v>
      </c>
      <c r="T25" s="48">
        <v>2766512300</v>
      </c>
    </row>
    <row r="26" spans="1:21" s="45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18754070000</v>
      </c>
      <c r="K26" s="24">
        <f t="shared" ref="K26:L26" si="8">K27+K28+K29+K30+K31+K32</f>
        <v>361500000</v>
      </c>
      <c r="L26" s="24">
        <f t="shared" si="8"/>
        <v>361500000</v>
      </c>
      <c r="M26" s="24">
        <f>M27+M28+M29+M30+M31+M32</f>
        <v>18754070000</v>
      </c>
      <c r="N26" s="14">
        <v>0</v>
      </c>
      <c r="O26" s="14">
        <f>O27+O28+O29+O30+O31+O32</f>
        <v>9240357775</v>
      </c>
      <c r="P26" s="24">
        <f>P27+P28+P29+P30+P31+P32</f>
        <v>9513712225</v>
      </c>
      <c r="Q26" s="14">
        <f>Q27+Q28+Q29+Q30+Q31+Q32</f>
        <v>9240357775</v>
      </c>
      <c r="R26" s="26">
        <f>IF(Q26&gt;1,Q26/(M26-N26),0)</f>
        <v>0.49271212995365804</v>
      </c>
      <c r="S26" s="24">
        <f>S27+S28+S29+S30+S31+S32</f>
        <v>9240357775</v>
      </c>
      <c r="T26" s="22">
        <f>T27+T28+T29+T30+T31+T32</f>
        <v>9240357775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132</v>
      </c>
      <c r="H27" s="7" t="s">
        <v>5</v>
      </c>
      <c r="I27" s="8" t="s">
        <v>6</v>
      </c>
      <c r="J27" s="9">
        <v>15324639437</v>
      </c>
      <c r="K27" s="9"/>
      <c r="L27" s="27">
        <f>111000000+131000000+119500000</f>
        <v>361500000</v>
      </c>
      <c r="M27" s="27">
        <f>J27+K27-L27</f>
        <v>14963139437</v>
      </c>
      <c r="N27" s="9">
        <v>0</v>
      </c>
      <c r="O27" s="9">
        <v>7148253763</v>
      </c>
      <c r="P27" s="27">
        <f t="shared" ref="P27:P32" si="9">+M27-O27-N27</f>
        <v>7814885674</v>
      </c>
      <c r="Q27" s="9">
        <v>7148253763</v>
      </c>
      <c r="R27" s="25">
        <f t="shared" si="1"/>
        <v>0.47772419638917518</v>
      </c>
      <c r="S27" s="9">
        <v>7148253763</v>
      </c>
      <c r="T27" s="48">
        <v>7148253763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2" t="s">
        <v>37</v>
      </c>
      <c r="G28" s="23" t="s">
        <v>62</v>
      </c>
      <c r="H28" s="7" t="s">
        <v>5</v>
      </c>
      <c r="I28" s="8" t="s">
        <v>6</v>
      </c>
      <c r="J28" s="9">
        <v>311641107</v>
      </c>
      <c r="K28" s="9">
        <v>119500000</v>
      </c>
      <c r="L28" s="27"/>
      <c r="M28" s="27">
        <f t="shared" ref="M28:M32" si="10">J28+K28-L28</f>
        <v>431141107</v>
      </c>
      <c r="N28" s="9">
        <v>0</v>
      </c>
      <c r="O28" s="9">
        <v>359044980</v>
      </c>
      <c r="P28" s="27">
        <f t="shared" si="9"/>
        <v>72096127</v>
      </c>
      <c r="Q28" s="9">
        <v>359044980</v>
      </c>
      <c r="R28" s="25">
        <f t="shared" si="1"/>
        <v>0.83277835068508088</v>
      </c>
      <c r="S28" s="9">
        <v>359044980</v>
      </c>
      <c r="T28" s="48">
        <v>359044980</v>
      </c>
    </row>
    <row r="29" spans="1:21" s="6" customFormat="1" ht="16.5" customHeight="1" x14ac:dyDescent="0.25">
      <c r="A29" s="7" t="s">
        <v>3</v>
      </c>
      <c r="B29" s="62" t="s">
        <v>34</v>
      </c>
      <c r="C29" s="7" t="s">
        <v>34</v>
      </c>
      <c r="D29" s="7" t="s">
        <v>51</v>
      </c>
      <c r="E29" s="7" t="s">
        <v>35</v>
      </c>
      <c r="F29" s="62" t="s">
        <v>39</v>
      </c>
      <c r="G29" s="23" t="s">
        <v>63</v>
      </c>
      <c r="H29" s="7" t="s">
        <v>5</v>
      </c>
      <c r="I29" s="8" t="s">
        <v>6</v>
      </c>
      <c r="J29" s="9">
        <v>1048453709</v>
      </c>
      <c r="K29" s="9"/>
      <c r="L29" s="27"/>
      <c r="M29" s="27">
        <f t="shared" si="10"/>
        <v>1048453709</v>
      </c>
      <c r="N29" s="9">
        <v>0</v>
      </c>
      <c r="O29" s="9">
        <v>517038850</v>
      </c>
      <c r="P29" s="27">
        <f t="shared" si="9"/>
        <v>531414859</v>
      </c>
      <c r="Q29" s="9">
        <v>517038850</v>
      </c>
      <c r="R29" s="25">
        <f t="shared" si="1"/>
        <v>0.49314418515734393</v>
      </c>
      <c r="S29" s="9">
        <v>517038850</v>
      </c>
      <c r="T29" s="48">
        <v>517038850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454335960</v>
      </c>
      <c r="K30" s="9">
        <v>32000000</v>
      </c>
      <c r="L30" s="27"/>
      <c r="M30" s="27">
        <f t="shared" si="10"/>
        <v>486335960</v>
      </c>
      <c r="N30" s="9">
        <v>0</v>
      </c>
      <c r="O30" s="9">
        <v>273964629</v>
      </c>
      <c r="P30" s="27">
        <f t="shared" si="9"/>
        <v>212371331</v>
      </c>
      <c r="Q30" s="9">
        <v>273964629</v>
      </c>
      <c r="R30" s="25">
        <f t="shared" si="1"/>
        <v>0.56332381631825046</v>
      </c>
      <c r="S30" s="9">
        <v>273964629</v>
      </c>
      <c r="T30" s="48">
        <v>273964629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1520168203</v>
      </c>
      <c r="K31" s="9">
        <f>79000000+131000000</f>
        <v>210000000</v>
      </c>
      <c r="L31" s="27"/>
      <c r="M31" s="27">
        <f t="shared" si="10"/>
        <v>1730168203</v>
      </c>
      <c r="N31" s="9">
        <v>0</v>
      </c>
      <c r="O31" s="9">
        <v>891320661</v>
      </c>
      <c r="P31" s="27">
        <f t="shared" si="9"/>
        <v>838847542</v>
      </c>
      <c r="Q31" s="9">
        <v>891320661</v>
      </c>
      <c r="R31" s="25">
        <f t="shared" si="1"/>
        <v>0.51516416696047673</v>
      </c>
      <c r="S31" s="9">
        <v>891320661</v>
      </c>
      <c r="T31" s="48">
        <v>891320661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94831584</v>
      </c>
      <c r="K32" s="9"/>
      <c r="L32" s="27"/>
      <c r="M32" s="27">
        <f t="shared" si="10"/>
        <v>94831584</v>
      </c>
      <c r="N32" s="9">
        <v>0</v>
      </c>
      <c r="O32" s="9">
        <v>50734892</v>
      </c>
      <c r="P32" s="27">
        <f t="shared" si="9"/>
        <v>44096692</v>
      </c>
      <c r="Q32" s="9">
        <v>50734892</v>
      </c>
      <c r="R32" s="25">
        <f t="shared" si="1"/>
        <v>0.53499994263514572</v>
      </c>
      <c r="S32" s="9">
        <v>50734892</v>
      </c>
      <c r="T32" s="48">
        <v>50734892</v>
      </c>
    </row>
    <row r="33" spans="1:21" ht="16.5" customHeight="1" x14ac:dyDescent="0.25">
      <c r="A33" s="77" t="s">
        <v>3</v>
      </c>
      <c r="B33" s="77" t="s">
        <v>34</v>
      </c>
      <c r="C33" s="77"/>
      <c r="D33" s="77"/>
      <c r="E33" s="77"/>
      <c r="F33" s="77"/>
      <c r="G33" s="78" t="s">
        <v>10</v>
      </c>
      <c r="H33" s="77" t="s">
        <v>5</v>
      </c>
      <c r="I33" s="79" t="s">
        <v>6</v>
      </c>
      <c r="J33" s="61">
        <f>J3</f>
        <v>349572344000</v>
      </c>
      <c r="K33" s="61">
        <f t="shared" ref="K33:L33" si="11">K3</f>
        <v>949681253</v>
      </c>
      <c r="L33" s="61">
        <f t="shared" si="11"/>
        <v>949681253</v>
      </c>
      <c r="M33" s="61">
        <f>M3</f>
        <v>349572344000</v>
      </c>
      <c r="N33" s="61">
        <f>N3</f>
        <v>0</v>
      </c>
      <c r="O33" s="61">
        <f>O3</f>
        <v>190344856637</v>
      </c>
      <c r="P33" s="61">
        <f>P3</f>
        <v>159227487363</v>
      </c>
      <c r="Q33" s="61">
        <f>Q3</f>
        <v>190344856637</v>
      </c>
      <c r="R33" s="73">
        <f>IF(Q33&gt;1,Q33/(M33-N33),0)</f>
        <v>0.54450776757385588</v>
      </c>
      <c r="S33" s="61">
        <f>S3</f>
        <v>186813147926</v>
      </c>
      <c r="T33" s="70">
        <f>T3</f>
        <v>186813147926</v>
      </c>
      <c r="U33" s="101"/>
    </row>
    <row r="34" spans="1:21" ht="15" customHeight="1" thickBot="1" x14ac:dyDescent="0.3">
      <c r="A34" s="140" t="s">
        <v>25</v>
      </c>
      <c r="B34" s="141"/>
      <c r="C34" s="141"/>
      <c r="D34" s="141"/>
      <c r="E34" s="141"/>
      <c r="F34" s="141"/>
      <c r="G34" s="141"/>
      <c r="H34" s="141"/>
      <c r="I34" s="142"/>
      <c r="J34" s="74">
        <f>J33</f>
        <v>349572344000</v>
      </c>
      <c r="K34" s="74">
        <f t="shared" ref="K34:L34" si="12">K33</f>
        <v>949681253</v>
      </c>
      <c r="L34" s="74">
        <f t="shared" si="12"/>
        <v>949681253</v>
      </c>
      <c r="M34" s="74">
        <f t="shared" ref="M34:T34" si="13">M33</f>
        <v>349572344000</v>
      </c>
      <c r="N34" s="74"/>
      <c r="O34" s="74">
        <f t="shared" si="13"/>
        <v>190344856637</v>
      </c>
      <c r="P34" s="74">
        <f t="shared" si="13"/>
        <v>159227487363</v>
      </c>
      <c r="Q34" s="74">
        <f t="shared" si="13"/>
        <v>190344856637</v>
      </c>
      <c r="R34" s="73">
        <f t="shared" si="1"/>
        <v>0.54450776757385588</v>
      </c>
      <c r="S34" s="74">
        <f t="shared" si="13"/>
        <v>186813147926</v>
      </c>
      <c r="T34" s="75">
        <f t="shared" si="13"/>
        <v>186813147926</v>
      </c>
    </row>
    <row r="35" spans="1:21" ht="15.75" customHeight="1" thickBot="1" x14ac:dyDescent="0.3">
      <c r="A35" s="134" t="s">
        <v>101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6"/>
    </row>
    <row r="36" spans="1:21" ht="15.75" customHeight="1" x14ac:dyDescent="0.25">
      <c r="A36" s="86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6">
        <f>J37+J38+J39+J40+J41+J43+J42+J44</f>
        <v>894100000</v>
      </c>
      <c r="K36" s="46">
        <f>K37+K38+K39+K40+K41+K43+K42+K44</f>
        <v>334337966</v>
      </c>
      <c r="L36" s="46">
        <f t="shared" ref="L36:P36" si="14">L37+L38+L39+L40+L41+L43+L42+L44</f>
        <v>277182145</v>
      </c>
      <c r="M36" s="46">
        <f t="shared" si="14"/>
        <v>951255821</v>
      </c>
      <c r="N36" s="46">
        <f t="shared" si="14"/>
        <v>0</v>
      </c>
      <c r="O36" s="46">
        <f>O37+O38+O39+O40+O41+O43+O42+O44</f>
        <v>445862216.37</v>
      </c>
      <c r="P36" s="46">
        <f t="shared" si="14"/>
        <v>505393604.63</v>
      </c>
      <c r="Q36" s="46">
        <f>Q37+Q38+Q39+Q40+Q41+Q43+Q42+Q44</f>
        <v>291362216.37</v>
      </c>
      <c r="R36" s="59">
        <f t="shared" ref="R36:R76" si="15">IF(Q36&gt;1,Q36/(M36-N36),0)</f>
        <v>0.30629217707567646</v>
      </c>
      <c r="S36" s="46">
        <f t="shared" ref="S36:T36" si="16">S37+S38+S39+S40+S41+S43+S42+S44</f>
        <v>138175136.37</v>
      </c>
      <c r="T36" s="46">
        <f t="shared" si="16"/>
        <v>138175136.37</v>
      </c>
    </row>
    <row r="37" spans="1:21" ht="15.75" customHeight="1" x14ac:dyDescent="0.25">
      <c r="A37" s="87" t="s">
        <v>3</v>
      </c>
      <c r="B37" s="7" t="s">
        <v>50</v>
      </c>
      <c r="C37" s="7" t="s">
        <v>34</v>
      </c>
      <c r="D37" s="7" t="s">
        <v>34</v>
      </c>
      <c r="E37" s="62" t="s">
        <v>39</v>
      </c>
      <c r="F37" s="62" t="s">
        <v>45</v>
      </c>
      <c r="G37" s="23" t="s">
        <v>134</v>
      </c>
      <c r="H37" s="7" t="s">
        <v>5</v>
      </c>
      <c r="I37" s="8">
        <v>10</v>
      </c>
      <c r="J37" s="43">
        <v>321500000</v>
      </c>
      <c r="K37" s="43">
        <f>2463202+28000000+15000000+75668582+25000000</f>
        <v>146131784</v>
      </c>
      <c r="L37" s="43">
        <f>14482730+17021000+2619265+135950000+359521</f>
        <v>170432516</v>
      </c>
      <c r="M37" s="43">
        <f>J37+K37-L37</f>
        <v>297199268</v>
      </c>
      <c r="N37" s="43"/>
      <c r="O37" s="43">
        <v>200433316</v>
      </c>
      <c r="P37" s="27">
        <f t="shared" ref="P37:P43" si="17">+M37-O37-N37</f>
        <v>96765952</v>
      </c>
      <c r="Q37" s="27">
        <v>199933316</v>
      </c>
      <c r="R37" s="66">
        <f>IF(Q37&gt;1,Q37/(M37-N37),0)</f>
        <v>0.67272479284841302</v>
      </c>
      <c r="S37" s="43">
        <v>103484416</v>
      </c>
      <c r="T37" s="67">
        <v>103484416</v>
      </c>
    </row>
    <row r="38" spans="1:21" ht="15.75" customHeight="1" x14ac:dyDescent="0.25">
      <c r="A38" s="87" t="s">
        <v>3</v>
      </c>
      <c r="B38" s="85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105</v>
      </c>
      <c r="H38" s="7" t="s">
        <v>5</v>
      </c>
      <c r="I38" s="8">
        <v>10</v>
      </c>
      <c r="J38" s="43">
        <v>144400000</v>
      </c>
      <c r="K38" s="43">
        <f>34000000+2291180</f>
        <v>36291180</v>
      </c>
      <c r="L38" s="43">
        <f>3000000+2696550+2941788</f>
        <v>8638338</v>
      </c>
      <c r="M38" s="43">
        <f t="shared" ref="M38:M43" si="18">J38+K38-L38</f>
        <v>172052842</v>
      </c>
      <c r="N38" s="43"/>
      <c r="O38" s="43">
        <v>92045191.469999999</v>
      </c>
      <c r="P38" s="27">
        <f t="shared" si="17"/>
        <v>80007650.530000001</v>
      </c>
      <c r="Q38" s="27">
        <v>16045191.470000001</v>
      </c>
      <c r="R38" s="66">
        <f t="shared" si="15"/>
        <v>9.3257346309920303E-2</v>
      </c>
      <c r="S38" s="43">
        <v>10458211.470000001</v>
      </c>
      <c r="T38" s="67">
        <v>10458211.470000001</v>
      </c>
      <c r="U38" s="101"/>
    </row>
    <row r="39" spans="1:21" ht="15.75" customHeight="1" x14ac:dyDescent="0.25">
      <c r="A39" s="87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106</v>
      </c>
      <c r="H39" s="7" t="s">
        <v>5</v>
      </c>
      <c r="I39" s="8">
        <v>10</v>
      </c>
      <c r="J39" s="43">
        <v>18700000</v>
      </c>
      <c r="K39" s="43">
        <f>2000000+5950000+1944780</f>
        <v>9894780</v>
      </c>
      <c r="L39" s="43">
        <v>3600000</v>
      </c>
      <c r="M39" s="43">
        <f t="shared" si="18"/>
        <v>24994780</v>
      </c>
      <c r="N39" s="43"/>
      <c r="O39" s="43">
        <v>17100000</v>
      </c>
      <c r="P39" s="27">
        <f t="shared" si="17"/>
        <v>7894780</v>
      </c>
      <c r="Q39" s="27">
        <v>17100000</v>
      </c>
      <c r="R39" s="66">
        <f t="shared" si="15"/>
        <v>0.68414284902687683</v>
      </c>
      <c r="S39" s="43">
        <v>0</v>
      </c>
      <c r="T39" s="67">
        <v>0</v>
      </c>
    </row>
    <row r="40" spans="1:21" ht="15.75" customHeight="1" x14ac:dyDescent="0.25">
      <c r="A40" s="87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2" t="s">
        <v>42</v>
      </c>
      <c r="G40" s="23" t="s">
        <v>116</v>
      </c>
      <c r="H40" s="7" t="s">
        <v>5</v>
      </c>
      <c r="I40" s="8">
        <v>10</v>
      </c>
      <c r="J40" s="43">
        <v>240000000</v>
      </c>
      <c r="K40" s="43">
        <v>78000000</v>
      </c>
      <c r="L40" s="43"/>
      <c r="M40" s="43">
        <f>J40+K40-L40</f>
        <v>318000000</v>
      </c>
      <c r="N40" s="108">
        <v>0</v>
      </c>
      <c r="O40" s="43">
        <v>78000000</v>
      </c>
      <c r="P40" s="27">
        <f>+M40-O40-N40</f>
        <v>240000000</v>
      </c>
      <c r="Q40" s="27">
        <v>0</v>
      </c>
      <c r="R40" s="66">
        <f t="shared" si="15"/>
        <v>0</v>
      </c>
      <c r="S40" s="43">
        <v>0</v>
      </c>
      <c r="T40" s="67">
        <v>0</v>
      </c>
    </row>
    <row r="41" spans="1:21" ht="15.75" customHeight="1" x14ac:dyDescent="0.25">
      <c r="A41" s="87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2" t="s">
        <v>43</v>
      </c>
      <c r="G41" s="23" t="s">
        <v>117</v>
      </c>
      <c r="H41" s="7" t="s">
        <v>5</v>
      </c>
      <c r="I41" s="8">
        <v>10</v>
      </c>
      <c r="J41" s="43">
        <v>57000000</v>
      </c>
      <c r="K41" s="43">
        <f>299880+6000000+10000000+916</f>
        <v>16300796</v>
      </c>
      <c r="L41" s="43">
        <f>12000000+22251</f>
        <v>12022251</v>
      </c>
      <c r="M41" s="43">
        <f t="shared" si="18"/>
        <v>61278545</v>
      </c>
      <c r="N41" s="43">
        <v>0</v>
      </c>
      <c r="O41" s="43">
        <v>4977748.9000000004</v>
      </c>
      <c r="P41" s="27">
        <f>+M41-O41-N41</f>
        <v>56300796.100000001</v>
      </c>
      <c r="Q41" s="27">
        <v>4977748.9000000004</v>
      </c>
      <c r="R41" s="66">
        <f t="shared" si="15"/>
        <v>8.1231512595476937E-2</v>
      </c>
      <c r="S41" s="43">
        <v>2977748.9</v>
      </c>
      <c r="T41" s="67">
        <v>2977748.9</v>
      </c>
    </row>
    <row r="42" spans="1:21" ht="15.75" customHeight="1" x14ac:dyDescent="0.25">
      <c r="A42" s="87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2" t="s">
        <v>44</v>
      </c>
      <c r="G42" s="23" t="s">
        <v>223</v>
      </c>
      <c r="H42" s="7" t="s">
        <v>5</v>
      </c>
      <c r="I42" s="8">
        <v>10</v>
      </c>
      <c r="J42" s="43">
        <v>0</v>
      </c>
      <c r="K42" s="43">
        <f>20000000+19047552</f>
        <v>39047552</v>
      </c>
      <c r="L42" s="43">
        <f>554040</f>
        <v>554040</v>
      </c>
      <c r="M42" s="43">
        <f t="shared" ref="M42" si="19">J42+K42-L42</f>
        <v>38493512</v>
      </c>
      <c r="N42" s="43">
        <v>0</v>
      </c>
      <c r="O42" s="43">
        <v>33845960</v>
      </c>
      <c r="P42" s="27">
        <f>+M42-O42-N42</f>
        <v>4647552</v>
      </c>
      <c r="Q42" s="27">
        <v>33845960</v>
      </c>
      <c r="R42" s="66">
        <f t="shared" ref="R42" si="20">IF(Q42&gt;1,Q42/(M42-N42),0)</f>
        <v>0.87926401727127423</v>
      </c>
      <c r="S42" s="43">
        <v>19445960</v>
      </c>
      <c r="T42" s="67">
        <v>19445960</v>
      </c>
    </row>
    <row r="43" spans="1:21" ht="15.75" customHeight="1" x14ac:dyDescent="0.25">
      <c r="A43" s="87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2" t="s">
        <v>45</v>
      </c>
      <c r="G43" s="23" t="s">
        <v>135</v>
      </c>
      <c r="H43" s="7" t="s">
        <v>5</v>
      </c>
      <c r="I43" s="8">
        <v>10</v>
      </c>
      <c r="J43" s="43">
        <v>112500000</v>
      </c>
      <c r="K43" s="43">
        <f>1000000+4671874</f>
        <v>5671874</v>
      </c>
      <c r="L43" s="43">
        <f>51895000+20000000+2571190+5777610+500000</f>
        <v>80743800</v>
      </c>
      <c r="M43" s="43">
        <f t="shared" si="18"/>
        <v>37428074</v>
      </c>
      <c r="N43" s="43">
        <v>0</v>
      </c>
      <c r="O43" s="43">
        <v>17651200</v>
      </c>
      <c r="P43" s="27">
        <f t="shared" si="17"/>
        <v>19776874</v>
      </c>
      <c r="Q43" s="27">
        <v>17651200</v>
      </c>
      <c r="R43" s="66">
        <f t="shared" si="15"/>
        <v>0.47160321420760254</v>
      </c>
      <c r="S43" s="43">
        <v>0</v>
      </c>
      <c r="T43" s="67">
        <v>0</v>
      </c>
    </row>
    <row r="44" spans="1:21" ht="15.75" customHeight="1" x14ac:dyDescent="0.25">
      <c r="A44" s="87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2" t="s">
        <v>46</v>
      </c>
      <c r="G44" s="23" t="s">
        <v>224</v>
      </c>
      <c r="H44" s="7" t="s">
        <v>5</v>
      </c>
      <c r="I44" s="8">
        <v>10</v>
      </c>
      <c r="J44" s="43">
        <v>0</v>
      </c>
      <c r="K44" s="43">
        <v>3000000</v>
      </c>
      <c r="L44" s="43">
        <f>1191200</f>
        <v>1191200</v>
      </c>
      <c r="M44" s="43">
        <f t="shared" ref="M44" si="21">J44+K44-L44</f>
        <v>1808800</v>
      </c>
      <c r="N44" s="43">
        <v>0</v>
      </c>
      <c r="O44" s="43">
        <v>1808800</v>
      </c>
      <c r="P44" s="27">
        <f t="shared" ref="P44" si="22">+M44-O44-N44</f>
        <v>0</v>
      </c>
      <c r="Q44" s="27">
        <v>1808800</v>
      </c>
      <c r="R44" s="66">
        <f t="shared" ref="R44" si="23">IF(Q44&gt;1,Q44/(M44-N44),0)</f>
        <v>1</v>
      </c>
      <c r="S44" s="43">
        <v>1808800</v>
      </c>
      <c r="T44" s="116">
        <v>1808800</v>
      </c>
    </row>
    <row r="45" spans="1:21" s="45" customFormat="1" ht="15" customHeight="1" x14ac:dyDescent="0.25">
      <c r="A45" s="86" t="s">
        <v>3</v>
      </c>
      <c r="B45" s="11" t="s">
        <v>50</v>
      </c>
      <c r="C45" s="11" t="s">
        <v>50</v>
      </c>
      <c r="D45" s="11"/>
      <c r="E45" s="11"/>
      <c r="F45" s="114"/>
      <c r="G45" s="12" t="s">
        <v>80</v>
      </c>
      <c r="H45" s="11" t="s">
        <v>5</v>
      </c>
      <c r="I45" s="13">
        <v>10</v>
      </c>
      <c r="J45" s="46">
        <f>J47+J48+J49+J50+J52+J53+J54+J55+J56+J57+J58+J59+J60+J61+J66+J67+J68+J69+J70+J71+J72+J74+J75+J76+J77+J78+J79+J81+J82+J83+J84+J85+J62+J63+J64+J51+J65</f>
        <v>53690471847</v>
      </c>
      <c r="K45" s="46">
        <f t="shared" ref="K45:M45" si="24">K47+K48+K49+K50+K52+K53+K54+K55+K56+K57+K58+K59+K60+K61+K66+K67+K68+K69+K70+K71+K72+K74+K75+K76+K77+K78+K79+K81+K82+K83+K84+K85+K62+K63+K64+K51+K65</f>
        <v>2483839405</v>
      </c>
      <c r="L45" s="46">
        <f t="shared" si="24"/>
        <v>2547511622</v>
      </c>
      <c r="M45" s="46">
        <f t="shared" si="24"/>
        <v>53626799630</v>
      </c>
      <c r="N45" s="46">
        <f>N47+N48+N49+N50+N52+N53+N54+N55+N56+N57+N58+N59+N60+N61+N66+N67+N69+N70+N71+N72+N74+N75+N76+N77+N78+N79+N81+N82+N83+N84+N85+N62+N63+N64+N51+N65</f>
        <v>0</v>
      </c>
      <c r="O45" s="46">
        <f>O47+O48+O49+O50+O52+O53+O54+O55+O56+O57+O58+O59+O60+O61+O66+O67+O68+O69+O70+O71+O72+O74+O75+O76+O77+O78+O79+O81+O82+O83+O84+O85+O62+O63+O64+O51+O65</f>
        <v>43912919018.730003</v>
      </c>
      <c r="P45" s="46">
        <f t="shared" ref="P45:Q45" si="25">P47+P48+P49+P50+P52+P53+P54+P55+P56+P57+P58+P59+P60+P61+P66+P67+P68+P69+P70+P71+P72+P74+P75+P76+P77+P78+P79+P81+P82+P83+P84+P85+P62+P63+P64+P51+P65</f>
        <v>9713880611.2700005</v>
      </c>
      <c r="Q45" s="46">
        <f t="shared" si="25"/>
        <v>40222162064.43</v>
      </c>
      <c r="R45" s="59">
        <f>IF(Q45&gt;1,Q45/(M45-N45),0)</f>
        <v>0.75003845730016017</v>
      </c>
      <c r="S45" s="24">
        <f t="shared" ref="S45:T45" si="26">S47+S48+S49+S50+S52+S53+S54+S55+S56+S57+S58+S59+S60+S61+S66+S67+S68+S69+S70+S71+S72+S74+S75+S76+S77+S78+S79+S81+S82+S83+S84+S85+S62+S63+S64+S51+S65</f>
        <v>23533375975.599998</v>
      </c>
      <c r="T45" s="24">
        <f t="shared" si="26"/>
        <v>23423167885.200001</v>
      </c>
    </row>
    <row r="46" spans="1:21" s="45" customFormat="1" ht="15" customHeight="1" x14ac:dyDescent="0.25">
      <c r="A46" s="86" t="s">
        <v>3</v>
      </c>
      <c r="B46" s="11" t="s">
        <v>50</v>
      </c>
      <c r="C46" s="11" t="s">
        <v>50</v>
      </c>
      <c r="D46" s="11"/>
      <c r="E46" s="11"/>
      <c r="F46" s="114"/>
      <c r="G46" s="12" t="s">
        <v>80</v>
      </c>
      <c r="H46" s="11" t="s">
        <v>8</v>
      </c>
      <c r="I46" s="13">
        <v>20</v>
      </c>
      <c r="J46" s="46">
        <f>J73+J80</f>
        <v>2873920000</v>
      </c>
      <c r="K46" s="46">
        <f t="shared" ref="K46:Q46" si="27">K73+K80</f>
        <v>0</v>
      </c>
      <c r="L46" s="46">
        <f t="shared" si="27"/>
        <v>0</v>
      </c>
      <c r="M46" s="46">
        <f>M73+M80</f>
        <v>2873920000</v>
      </c>
      <c r="N46" s="46">
        <f>N73+N80</f>
        <v>0</v>
      </c>
      <c r="O46" s="46">
        <f t="shared" si="27"/>
        <v>0</v>
      </c>
      <c r="P46" s="24">
        <f t="shared" si="27"/>
        <v>2873920000</v>
      </c>
      <c r="Q46" s="24">
        <f t="shared" si="27"/>
        <v>0</v>
      </c>
      <c r="R46" s="59">
        <f t="shared" ref="R46" si="28">IF(Q46&gt;1,Q46/(M46-N46),0)</f>
        <v>0</v>
      </c>
      <c r="S46" s="46">
        <f t="shared" ref="S46:T46" si="29">S73+S80</f>
        <v>0</v>
      </c>
      <c r="T46" s="65">
        <f t="shared" si="29"/>
        <v>0</v>
      </c>
    </row>
    <row r="47" spans="1:21" s="6" customFormat="1" x14ac:dyDescent="0.25">
      <c r="A47" s="87" t="s">
        <v>3</v>
      </c>
      <c r="B47" s="7" t="s">
        <v>50</v>
      </c>
      <c r="C47" s="7" t="s">
        <v>50</v>
      </c>
      <c r="D47" s="7" t="s">
        <v>34</v>
      </c>
      <c r="E47" s="62" t="s">
        <v>35</v>
      </c>
      <c r="F47" s="62" t="s">
        <v>42</v>
      </c>
      <c r="G47" s="23" t="s">
        <v>213</v>
      </c>
      <c r="H47" s="7" t="s">
        <v>5</v>
      </c>
      <c r="I47" s="8">
        <v>10</v>
      </c>
      <c r="J47" s="43">
        <v>210000</v>
      </c>
      <c r="K47" s="43"/>
      <c r="L47" s="43"/>
      <c r="M47" s="43">
        <f>J47+K47-L47</f>
        <v>210000</v>
      </c>
      <c r="N47" s="43">
        <v>0</v>
      </c>
      <c r="O47" s="43">
        <v>210000</v>
      </c>
      <c r="P47" s="27">
        <f t="shared" ref="P47:P85" si="30">+M47-O47-N47</f>
        <v>0</v>
      </c>
      <c r="Q47" s="9">
        <v>0</v>
      </c>
      <c r="R47" s="25">
        <f t="shared" si="15"/>
        <v>0</v>
      </c>
      <c r="S47" s="9">
        <v>0</v>
      </c>
      <c r="T47" s="10">
        <v>0</v>
      </c>
    </row>
    <row r="48" spans="1:21" s="6" customFormat="1" x14ac:dyDescent="0.25">
      <c r="A48" s="87" t="s">
        <v>3</v>
      </c>
      <c r="B48" s="7" t="s">
        <v>50</v>
      </c>
      <c r="C48" s="7" t="s">
        <v>50</v>
      </c>
      <c r="D48" s="7" t="s">
        <v>34</v>
      </c>
      <c r="E48" s="62" t="s">
        <v>35</v>
      </c>
      <c r="F48" s="62" t="s">
        <v>43</v>
      </c>
      <c r="G48" s="23" t="s">
        <v>221</v>
      </c>
      <c r="H48" s="7" t="s">
        <v>5</v>
      </c>
      <c r="I48" s="8">
        <v>10</v>
      </c>
      <c r="J48" s="43">
        <v>0</v>
      </c>
      <c r="K48" s="43">
        <v>300000</v>
      </c>
      <c r="L48" s="43"/>
      <c r="M48" s="43">
        <f>J48+K48-L48</f>
        <v>300000</v>
      </c>
      <c r="N48" s="43">
        <v>0</v>
      </c>
      <c r="O48" s="43">
        <v>300000</v>
      </c>
      <c r="P48" s="27">
        <f t="shared" ref="P48" si="31">+M48-O48-N48</f>
        <v>0</v>
      </c>
      <c r="Q48" s="9">
        <v>300000</v>
      </c>
      <c r="R48" s="25">
        <f t="shared" ref="R48" si="32">IF(Q48&gt;1,Q48/(M48-N48),0)</f>
        <v>1</v>
      </c>
      <c r="S48" s="9">
        <v>0</v>
      </c>
      <c r="T48" s="10">
        <v>0</v>
      </c>
    </row>
    <row r="49" spans="1:20" s="6" customFormat="1" ht="24.75" customHeight="1" x14ac:dyDescent="0.25">
      <c r="A49" s="87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2" t="s">
        <v>44</v>
      </c>
      <c r="G49" s="23" t="s">
        <v>200</v>
      </c>
      <c r="H49" s="7" t="s">
        <v>5</v>
      </c>
      <c r="I49" s="8">
        <v>10</v>
      </c>
      <c r="J49" s="43">
        <v>40788000</v>
      </c>
      <c r="K49" s="43">
        <v>53701</v>
      </c>
      <c r="L49" s="43">
        <f>6104956</f>
        <v>6104956</v>
      </c>
      <c r="M49" s="43">
        <f t="shared" ref="M49" si="33">J49+K49-L49</f>
        <v>34736745</v>
      </c>
      <c r="N49" s="43">
        <v>0</v>
      </c>
      <c r="O49" s="43">
        <v>22736736</v>
      </c>
      <c r="P49" s="27">
        <f>+M49-O49-N49</f>
        <v>12000009</v>
      </c>
      <c r="Q49" s="9">
        <v>13948736</v>
      </c>
      <c r="R49" s="25">
        <f>IF(Q49&gt;1,Q49/(M49-N49),0)</f>
        <v>0.40155564374267078</v>
      </c>
      <c r="S49" s="9">
        <v>0</v>
      </c>
      <c r="T49" s="10">
        <v>0</v>
      </c>
    </row>
    <row r="50" spans="1:20" s="6" customFormat="1" ht="16.5" x14ac:dyDescent="0.25">
      <c r="A50" s="87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2" t="s">
        <v>45</v>
      </c>
      <c r="G50" s="23" t="s">
        <v>107</v>
      </c>
      <c r="H50" s="7" t="s">
        <v>5</v>
      </c>
      <c r="I50" s="8" t="s">
        <v>6</v>
      </c>
      <c r="J50" s="43">
        <v>841520000</v>
      </c>
      <c r="K50" s="43">
        <f>78250+3790234+79369300</f>
        <v>83237784</v>
      </c>
      <c r="L50" s="43">
        <f>13269942+12376000+6876500</f>
        <v>32522442</v>
      </c>
      <c r="M50" s="43">
        <f t="shared" ref="M50:M85" si="34">J50+K50-L50</f>
        <v>892235342</v>
      </c>
      <c r="N50" s="9">
        <v>0</v>
      </c>
      <c r="O50" s="43">
        <v>771134015</v>
      </c>
      <c r="P50" s="27">
        <f>+M50-O50-N50</f>
        <v>121101327</v>
      </c>
      <c r="Q50" s="9">
        <v>268622015</v>
      </c>
      <c r="R50" s="25">
        <f t="shared" si="15"/>
        <v>0.3010663244944628</v>
      </c>
      <c r="S50" s="9">
        <v>85063310</v>
      </c>
      <c r="T50" s="10">
        <v>61063310</v>
      </c>
    </row>
    <row r="51" spans="1:20" s="6" customFormat="1" ht="24.75" x14ac:dyDescent="0.25">
      <c r="A51" s="87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62" t="s">
        <v>35</v>
      </c>
      <c r="G51" s="23" t="s">
        <v>222</v>
      </c>
      <c r="H51" s="7" t="s">
        <v>5</v>
      </c>
      <c r="I51" s="8" t="s">
        <v>6</v>
      </c>
      <c r="J51" s="43">
        <v>0</v>
      </c>
      <c r="K51" s="43">
        <v>2000000</v>
      </c>
      <c r="L51" s="43"/>
      <c r="M51" s="43">
        <f t="shared" ref="M51" si="35">J51+K51-L51</f>
        <v>2000000</v>
      </c>
      <c r="N51" s="9">
        <v>0</v>
      </c>
      <c r="O51" s="43">
        <v>2000000</v>
      </c>
      <c r="P51" s="27">
        <f>+M51-O51-N51</f>
        <v>0</v>
      </c>
      <c r="Q51" s="9">
        <v>2000000</v>
      </c>
      <c r="R51" s="25">
        <f t="shared" ref="R51" si="36">IF(Q51&gt;1,Q51/(M51-N51),0)</f>
        <v>1</v>
      </c>
      <c r="S51" s="9">
        <v>0</v>
      </c>
      <c r="T51" s="10">
        <v>0</v>
      </c>
    </row>
    <row r="52" spans="1:20" s="6" customFormat="1" ht="40.5" customHeight="1" x14ac:dyDescent="0.25">
      <c r="A52" s="87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62" t="s">
        <v>37</v>
      </c>
      <c r="G52" s="23" t="s">
        <v>202</v>
      </c>
      <c r="H52" s="7" t="s">
        <v>5</v>
      </c>
      <c r="I52" s="8">
        <v>10</v>
      </c>
      <c r="J52" s="43">
        <v>759430000</v>
      </c>
      <c r="K52" s="43">
        <f>12364500+784360+6397485+600000</f>
        <v>20146345</v>
      </c>
      <c r="L52" s="43">
        <f>13524360+4473400+18000000+60000000+41406600+5586</f>
        <v>137409946</v>
      </c>
      <c r="M52" s="43">
        <f t="shared" si="34"/>
        <v>642166399</v>
      </c>
      <c r="N52" s="27">
        <v>0</v>
      </c>
      <c r="O52" s="43">
        <v>599068441.79999995</v>
      </c>
      <c r="P52" s="27">
        <f t="shared" si="30"/>
        <v>43097957.200000048</v>
      </c>
      <c r="Q52" s="9">
        <v>599068441.79999995</v>
      </c>
      <c r="R52" s="25">
        <f t="shared" si="15"/>
        <v>0.93288662055954119</v>
      </c>
      <c r="S52" s="9">
        <v>32514414</v>
      </c>
      <c r="T52" s="10">
        <v>32514414</v>
      </c>
    </row>
    <row r="53" spans="1:20" s="6" customFormat="1" ht="23.25" customHeight="1" x14ac:dyDescent="0.25">
      <c r="A53" s="87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62" t="s">
        <v>39</v>
      </c>
      <c r="G53" s="23" t="s">
        <v>108</v>
      </c>
      <c r="H53" s="7" t="s">
        <v>5</v>
      </c>
      <c r="I53" s="8" t="s">
        <v>6</v>
      </c>
      <c r="J53" s="43">
        <v>386480000</v>
      </c>
      <c r="K53" s="43">
        <f>2800000+770000+3850000+150000</f>
        <v>7570000</v>
      </c>
      <c r="L53" s="43">
        <f>9249800+951265+1812951</f>
        <v>12014016</v>
      </c>
      <c r="M53" s="43">
        <f>J53+K53-L53</f>
        <v>382035984</v>
      </c>
      <c r="N53" s="27">
        <v>0</v>
      </c>
      <c r="O53" s="43">
        <v>255543642</v>
      </c>
      <c r="P53" s="27">
        <f t="shared" si="30"/>
        <v>126492342</v>
      </c>
      <c r="Q53" s="9">
        <v>239163642</v>
      </c>
      <c r="R53" s="25">
        <f t="shared" si="15"/>
        <v>0.62602386166848623</v>
      </c>
      <c r="S53" s="9">
        <v>122107677.13</v>
      </c>
      <c r="T53" s="10">
        <v>120519525.20999999</v>
      </c>
    </row>
    <row r="54" spans="1:20" s="6" customFormat="1" x14ac:dyDescent="0.25">
      <c r="A54" s="87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62" t="s">
        <v>40</v>
      </c>
      <c r="G54" s="23" t="s">
        <v>109</v>
      </c>
      <c r="H54" s="7" t="s">
        <v>5</v>
      </c>
      <c r="I54" s="8" t="s">
        <v>6</v>
      </c>
      <c r="J54" s="43">
        <v>412800000</v>
      </c>
      <c r="K54" s="43">
        <f>3200000+2500000+973667</f>
        <v>6673667</v>
      </c>
      <c r="L54" s="43">
        <f>10431293+3790234+770000+3850000+57348+800000+2880735+1731940+4978359+112293+5655561</f>
        <v>35057763</v>
      </c>
      <c r="M54" s="43">
        <f t="shared" si="34"/>
        <v>384415904</v>
      </c>
      <c r="N54" s="27">
        <v>0</v>
      </c>
      <c r="O54" s="43">
        <v>338044970</v>
      </c>
      <c r="P54" s="43">
        <f t="shared" si="30"/>
        <v>46370934</v>
      </c>
      <c r="Q54" s="9">
        <v>337344970</v>
      </c>
      <c r="R54" s="25">
        <f t="shared" si="15"/>
        <v>0.87755206402698682</v>
      </c>
      <c r="S54" s="9">
        <v>38473071.75</v>
      </c>
      <c r="T54" s="10">
        <v>32079249</v>
      </c>
    </row>
    <row r="55" spans="1:20" s="6" customFormat="1" ht="29.25" customHeight="1" x14ac:dyDescent="0.25">
      <c r="A55" s="87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62" t="s">
        <v>42</v>
      </c>
      <c r="G55" s="23" t="s">
        <v>110</v>
      </c>
      <c r="H55" s="7" t="s">
        <v>5</v>
      </c>
      <c r="I55" s="8" t="s">
        <v>6</v>
      </c>
      <c r="J55" s="43">
        <v>93970000</v>
      </c>
      <c r="K55" s="43">
        <f>4700000+17628242+1084865+383575+1000000+4025487+30000000+4993300</f>
        <v>63815469</v>
      </c>
      <c r="L55" s="43">
        <f>958865+1350000+800000+2687166+20628242+975363</f>
        <v>27399636</v>
      </c>
      <c r="M55" s="43">
        <f t="shared" si="34"/>
        <v>130385833</v>
      </c>
      <c r="N55" s="27">
        <v>0</v>
      </c>
      <c r="O55" s="43">
        <v>72103601.099999994</v>
      </c>
      <c r="P55" s="43">
        <f t="shared" si="30"/>
        <v>58282231.900000006</v>
      </c>
      <c r="Q55" s="9">
        <v>52233601.100000001</v>
      </c>
      <c r="R55" s="25">
        <f t="shared" si="15"/>
        <v>0.40060794871786415</v>
      </c>
      <c r="S55" s="9">
        <v>951800</v>
      </c>
      <c r="T55" s="10">
        <v>951800</v>
      </c>
    </row>
    <row r="56" spans="1:20" s="6" customFormat="1" ht="16.5" x14ac:dyDescent="0.25">
      <c r="A56" s="87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62" t="s">
        <v>43</v>
      </c>
      <c r="G56" s="23" t="s">
        <v>111</v>
      </c>
      <c r="H56" s="7" t="s">
        <v>5</v>
      </c>
      <c r="I56" s="8" t="s">
        <v>6</v>
      </c>
      <c r="J56" s="43">
        <v>591813000</v>
      </c>
      <c r="K56" s="43">
        <f>600000+2758258+7037922+500000+17021000+3072078+4919084+60000000+14546299+23392318+3000000+1180324+104878745</f>
        <v>242906028</v>
      </c>
      <c r="L56" s="43">
        <f>15000000+10889000+9810000+9633702+82372742+23124556+27073287+1999300</f>
        <v>179902587</v>
      </c>
      <c r="M56" s="43">
        <f t="shared" si="34"/>
        <v>654816441</v>
      </c>
      <c r="N56" s="9">
        <v>0</v>
      </c>
      <c r="O56" s="43">
        <v>505527856.97000003</v>
      </c>
      <c r="P56" s="43">
        <f t="shared" si="30"/>
        <v>149288584.02999997</v>
      </c>
      <c r="Q56" s="9">
        <v>487527856.97000003</v>
      </c>
      <c r="R56" s="25">
        <f t="shared" si="15"/>
        <v>0.744525986894089</v>
      </c>
      <c r="S56" s="9">
        <v>92212025</v>
      </c>
      <c r="T56" s="10">
        <v>92212025</v>
      </c>
    </row>
    <row r="57" spans="1:20" s="6" customFormat="1" ht="24.75" x14ac:dyDescent="0.25">
      <c r="A57" s="87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62" t="s">
        <v>44</v>
      </c>
      <c r="G57" s="23" t="s">
        <v>112</v>
      </c>
      <c r="H57" s="7" t="s">
        <v>5</v>
      </c>
      <c r="I57" s="60" t="s">
        <v>6</v>
      </c>
      <c r="J57" s="43">
        <v>134622000</v>
      </c>
      <c r="K57" s="43">
        <f>1600000+750000+71460+6500000</f>
        <v>8921460</v>
      </c>
      <c r="L57" s="43">
        <f>28000000+60000000+30000000</f>
        <v>118000000</v>
      </c>
      <c r="M57" s="43">
        <f>J57+K57-L57</f>
        <v>25543460</v>
      </c>
      <c r="N57" s="9">
        <v>0</v>
      </c>
      <c r="O57" s="43">
        <v>24793460</v>
      </c>
      <c r="P57" s="27">
        <f t="shared" si="30"/>
        <v>750000</v>
      </c>
      <c r="Q57" s="9">
        <v>21571460</v>
      </c>
      <c r="R57" s="25">
        <f t="shared" si="15"/>
        <v>0.84450031436618223</v>
      </c>
      <c r="S57" s="9">
        <v>0</v>
      </c>
      <c r="T57" s="10">
        <v>0</v>
      </c>
    </row>
    <row r="58" spans="1:20" s="6" customFormat="1" ht="16.5" x14ac:dyDescent="0.25">
      <c r="A58" s="87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62" t="s">
        <v>45</v>
      </c>
      <c r="G58" s="23" t="s">
        <v>113</v>
      </c>
      <c r="H58" s="7" t="s">
        <v>5</v>
      </c>
      <c r="I58" s="8" t="s">
        <v>6</v>
      </c>
      <c r="J58" s="43">
        <v>97150000</v>
      </c>
      <c r="K58" s="43">
        <f>3939200+1169986+6037170+1000000+285960</f>
        <v>12432316</v>
      </c>
      <c r="L58" s="43">
        <f>1000000+1999200+9700000+3010000+22000000+16000000</f>
        <v>53709200</v>
      </c>
      <c r="M58" s="43">
        <f>J58+K58-L58</f>
        <v>55873116</v>
      </c>
      <c r="N58" s="9">
        <v>0</v>
      </c>
      <c r="O58" s="43">
        <v>17570645.620000001</v>
      </c>
      <c r="P58" s="27">
        <f>+M58-O58-N58</f>
        <v>38302470.379999995</v>
      </c>
      <c r="Q58" s="9">
        <v>17130645.620000001</v>
      </c>
      <c r="R58" s="25">
        <f t="shared" si="15"/>
        <v>0.30659907387302332</v>
      </c>
      <c r="S58" s="9">
        <v>1941960</v>
      </c>
      <c r="T58" s="10">
        <v>1941960</v>
      </c>
    </row>
    <row r="59" spans="1:20" s="6" customFormat="1" x14ac:dyDescent="0.25">
      <c r="A59" s="87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62" t="s">
        <v>35</v>
      </c>
      <c r="G59" s="23" t="s">
        <v>114</v>
      </c>
      <c r="H59" s="7" t="s">
        <v>5</v>
      </c>
      <c r="I59" s="8" t="s">
        <v>6</v>
      </c>
      <c r="J59" s="43">
        <v>7300000</v>
      </c>
      <c r="K59" s="43">
        <f>254184+2000000</f>
        <v>2254184</v>
      </c>
      <c r="L59" s="43">
        <f>4600000+254184</f>
        <v>4854184</v>
      </c>
      <c r="M59" s="43">
        <f>J59+K59-L59</f>
        <v>4700000</v>
      </c>
      <c r="N59" s="9">
        <v>0</v>
      </c>
      <c r="O59" s="43">
        <v>4700000</v>
      </c>
      <c r="P59" s="27">
        <f t="shared" si="30"/>
        <v>0</v>
      </c>
      <c r="Q59" s="9">
        <v>4000000</v>
      </c>
      <c r="R59" s="25">
        <f>IF(Q59&gt;1,Q59/(M59-N59),0)</f>
        <v>0.85106382978723405</v>
      </c>
      <c r="S59" s="9">
        <v>0</v>
      </c>
      <c r="T59" s="10">
        <v>0</v>
      </c>
    </row>
    <row r="60" spans="1:20" s="6" customFormat="1" ht="24.75" x14ac:dyDescent="0.25">
      <c r="A60" s="87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62" t="s">
        <v>37</v>
      </c>
      <c r="G60" s="23" t="s">
        <v>115</v>
      </c>
      <c r="H60" s="7" t="s">
        <v>5</v>
      </c>
      <c r="I60" s="8" t="s">
        <v>6</v>
      </c>
      <c r="J60" s="43">
        <v>125094000</v>
      </c>
      <c r="K60" s="43">
        <f>4400000+898743+1612600+66084644+72752798+4000000+21015880+2200000+6000000+26340766</f>
        <v>205305431</v>
      </c>
      <c r="L60" s="43">
        <f>2529750+683743+924000+2020000+226691+3125104+3406007+773106</f>
        <v>13688401</v>
      </c>
      <c r="M60" s="43">
        <f t="shared" si="34"/>
        <v>316711030</v>
      </c>
      <c r="N60" s="9">
        <v>0</v>
      </c>
      <c r="O60" s="43">
        <v>83323868.359999999</v>
      </c>
      <c r="P60" s="27">
        <f t="shared" si="30"/>
        <v>233387161.63999999</v>
      </c>
      <c r="Q60" s="9">
        <v>49823868.359999999</v>
      </c>
      <c r="R60" s="25">
        <f t="shared" si="15"/>
        <v>0.1573164924505471</v>
      </c>
      <c r="S60" s="9">
        <v>1612950</v>
      </c>
      <c r="T60" s="10">
        <v>1612950</v>
      </c>
    </row>
    <row r="61" spans="1:20" s="6" customFormat="1" ht="16.5" x14ac:dyDescent="0.25">
      <c r="A61" s="87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62" t="s">
        <v>39</v>
      </c>
      <c r="G61" s="23" t="s">
        <v>105</v>
      </c>
      <c r="H61" s="7" t="s">
        <v>5</v>
      </c>
      <c r="I61" s="8" t="s">
        <v>6</v>
      </c>
      <c r="J61" s="43">
        <v>2550000</v>
      </c>
      <c r="K61" s="43">
        <f>1142400+11915580+742560+1000000+600000+1618666</f>
        <v>17019206</v>
      </c>
      <c r="L61" s="43">
        <f>69088+685440</f>
        <v>754528</v>
      </c>
      <c r="M61" s="43">
        <f t="shared" si="34"/>
        <v>18814678</v>
      </c>
      <c r="N61" s="9">
        <v>0</v>
      </c>
      <c r="O61" s="43">
        <v>15465580</v>
      </c>
      <c r="P61" s="27">
        <f t="shared" si="30"/>
        <v>3349098</v>
      </c>
      <c r="Q61" s="9">
        <v>12915580</v>
      </c>
      <c r="R61" s="25">
        <f>IF(Q61&gt;1,Q61/(M61-N61),0)</f>
        <v>0.68646298384697313</v>
      </c>
      <c r="S61" s="9">
        <v>0</v>
      </c>
      <c r="T61" s="10">
        <v>0</v>
      </c>
    </row>
    <row r="62" spans="1:20" s="6" customFormat="1" ht="16.5" x14ac:dyDescent="0.25">
      <c r="A62" s="87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2" t="s">
        <v>40</v>
      </c>
      <c r="G62" s="23" t="s">
        <v>106</v>
      </c>
      <c r="H62" s="7" t="s">
        <v>5</v>
      </c>
      <c r="I62" s="8" t="s">
        <v>6</v>
      </c>
      <c r="J62" s="43">
        <v>4000000</v>
      </c>
      <c r="K62" s="43">
        <f>4426800+2641800+1451043</f>
        <v>8519643</v>
      </c>
      <c r="L62" s="43">
        <f>16712+338</f>
        <v>17050</v>
      </c>
      <c r="M62" s="43">
        <f>J62+K62-L62</f>
        <v>12502593</v>
      </c>
      <c r="N62" s="9">
        <v>0</v>
      </c>
      <c r="O62" s="43">
        <v>4000000</v>
      </c>
      <c r="P62" s="27">
        <f t="shared" ref="P62:P63" si="37">+M62-O62-N62</f>
        <v>8502593</v>
      </c>
      <c r="Q62" s="9">
        <v>0</v>
      </c>
      <c r="R62" s="25">
        <f t="shared" ref="R62:R64" si="38">IF(Q62&gt;1,Q62/(M62-N62),0)</f>
        <v>0</v>
      </c>
      <c r="S62" s="9">
        <v>0</v>
      </c>
      <c r="T62" s="10">
        <v>0</v>
      </c>
    </row>
    <row r="63" spans="1:20" s="6" customFormat="1" ht="16.5" x14ac:dyDescent="0.25">
      <c r="A63" s="87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2" t="s">
        <v>42</v>
      </c>
      <c r="G63" s="23" t="s">
        <v>116</v>
      </c>
      <c r="H63" s="7" t="s">
        <v>5</v>
      </c>
      <c r="I63" s="8" t="s">
        <v>6</v>
      </c>
      <c r="J63" s="43">
        <v>17010000</v>
      </c>
      <c r="K63" s="43">
        <f>260000+17000000</f>
        <v>17260000</v>
      </c>
      <c r="L63" s="43">
        <f>238000+1400000+360000+12500000+2500</f>
        <v>14500500</v>
      </c>
      <c r="M63" s="43">
        <f t="shared" si="34"/>
        <v>19769500</v>
      </c>
      <c r="N63" s="9">
        <v>0</v>
      </c>
      <c r="O63" s="43">
        <v>19769039</v>
      </c>
      <c r="P63" s="27">
        <f t="shared" si="37"/>
        <v>461</v>
      </c>
      <c r="Q63" s="9">
        <v>19769039</v>
      </c>
      <c r="R63" s="25">
        <f t="shared" si="38"/>
        <v>0.99997668125142269</v>
      </c>
      <c r="S63" s="9">
        <v>19500</v>
      </c>
      <c r="T63" s="10">
        <v>19500</v>
      </c>
    </row>
    <row r="64" spans="1:20" s="6" customFormat="1" ht="16.5" x14ac:dyDescent="0.25">
      <c r="A64" s="87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2" t="s">
        <v>43</v>
      </c>
      <c r="G64" s="23" t="s">
        <v>117</v>
      </c>
      <c r="H64" s="7" t="s">
        <v>5</v>
      </c>
      <c r="I64" s="8" t="s">
        <v>6</v>
      </c>
      <c r="J64" s="43">
        <v>133240000</v>
      </c>
      <c r="K64" s="43">
        <f>12000000+3400000+35000000+936058+1852002</f>
        <v>53188060</v>
      </c>
      <c r="L64" s="43">
        <f>3400000+28112774+25000000+6000</f>
        <v>56518774</v>
      </c>
      <c r="M64" s="43">
        <f>J64+K64-L64</f>
        <v>129909286</v>
      </c>
      <c r="N64" s="9"/>
      <c r="O64" s="43">
        <v>112127094</v>
      </c>
      <c r="P64" s="27">
        <f>+M64-O64-N64</f>
        <v>17782192</v>
      </c>
      <c r="Q64" s="9">
        <v>54287094</v>
      </c>
      <c r="R64" s="25">
        <f t="shared" si="38"/>
        <v>0.41788463066450848</v>
      </c>
      <c r="S64" s="9">
        <v>7051104</v>
      </c>
      <c r="T64" s="10">
        <v>7051104</v>
      </c>
    </row>
    <row r="65" spans="1:20" s="6" customFormat="1" ht="16.5" x14ac:dyDescent="0.25">
      <c r="A65" s="87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62" t="s">
        <v>44</v>
      </c>
      <c r="G65" s="23" t="s">
        <v>223</v>
      </c>
      <c r="H65" s="7" t="s">
        <v>5</v>
      </c>
      <c r="I65" s="8" t="s">
        <v>6</v>
      </c>
      <c r="J65" s="43">
        <v>0</v>
      </c>
      <c r="K65" s="43">
        <f>20845500+20000000+19047552</f>
        <v>59893052</v>
      </c>
      <c r="L65" s="43">
        <f>20000000+19047552</f>
        <v>39047552</v>
      </c>
      <c r="M65" s="43">
        <f>J65+K65-L65</f>
        <v>20845500</v>
      </c>
      <c r="N65" s="9">
        <v>0</v>
      </c>
      <c r="O65" s="43">
        <v>0</v>
      </c>
      <c r="P65" s="27">
        <f>+M65-O65-N65</f>
        <v>20845500</v>
      </c>
      <c r="Q65" s="9">
        <v>0</v>
      </c>
      <c r="R65" s="25">
        <f t="shared" ref="R65" si="39">IF(Q65&gt;1,Q65/(M65-N65),0)</f>
        <v>0</v>
      </c>
      <c r="S65" s="9">
        <v>0</v>
      </c>
      <c r="T65" s="10">
        <v>0</v>
      </c>
    </row>
    <row r="66" spans="1:20" s="6" customFormat="1" ht="24.75" x14ac:dyDescent="0.25">
      <c r="A66" s="87" t="s">
        <v>3</v>
      </c>
      <c r="B66" s="7" t="s">
        <v>50</v>
      </c>
      <c r="C66" s="62" t="s">
        <v>50</v>
      </c>
      <c r="D66" s="7" t="s">
        <v>34</v>
      </c>
      <c r="E66" s="7" t="s">
        <v>40</v>
      </c>
      <c r="F66" s="62" t="s">
        <v>45</v>
      </c>
      <c r="G66" s="23" t="s">
        <v>135</v>
      </c>
      <c r="H66" s="7" t="s">
        <v>5</v>
      </c>
      <c r="I66" s="8" t="s">
        <v>6</v>
      </c>
      <c r="J66" s="43">
        <v>17343000</v>
      </c>
      <c r="K66" s="43">
        <f>915932+303630+23370+12852000+599760+2492000</f>
        <v>17186692</v>
      </c>
      <c r="L66" s="43">
        <f>11000000+43000+599760+12852000</f>
        <v>24494760</v>
      </c>
      <c r="M66" s="43">
        <f t="shared" si="34"/>
        <v>10034932</v>
      </c>
      <c r="N66" s="9">
        <v>0</v>
      </c>
      <c r="O66" s="43">
        <v>6333985.6799999997</v>
      </c>
      <c r="P66" s="27">
        <f t="shared" si="30"/>
        <v>3700946.3200000003</v>
      </c>
      <c r="Q66" s="9">
        <v>1433985.68</v>
      </c>
      <c r="R66" s="25">
        <f t="shared" si="15"/>
        <v>0.14289939184440911</v>
      </c>
      <c r="S66" s="9">
        <v>1234932</v>
      </c>
      <c r="T66" s="10">
        <v>1234932</v>
      </c>
    </row>
    <row r="67" spans="1:20" s="6" customFormat="1" x14ac:dyDescent="0.25">
      <c r="A67" s="87" t="s">
        <v>3</v>
      </c>
      <c r="B67" s="7" t="s">
        <v>50</v>
      </c>
      <c r="C67" s="7" t="s">
        <v>50</v>
      </c>
      <c r="D67" s="7" t="s">
        <v>50</v>
      </c>
      <c r="E67" s="7" t="s">
        <v>42</v>
      </c>
      <c r="F67" s="62" t="s">
        <v>40</v>
      </c>
      <c r="G67" s="23" t="s">
        <v>118</v>
      </c>
      <c r="H67" s="7" t="s">
        <v>5</v>
      </c>
      <c r="I67" s="8" t="s">
        <v>6</v>
      </c>
      <c r="J67" s="43">
        <v>2038000000</v>
      </c>
      <c r="K67" s="43">
        <f>100000000+40000000+81775164</f>
        <v>221775164</v>
      </c>
      <c r="L67" s="43"/>
      <c r="M67" s="43">
        <f t="shared" si="34"/>
        <v>2259775164</v>
      </c>
      <c r="N67" s="9">
        <v>0</v>
      </c>
      <c r="O67" s="43">
        <v>559904224</v>
      </c>
      <c r="P67" s="27">
        <f>+M67-O67-N67</f>
        <v>1699870940</v>
      </c>
      <c r="Q67" s="9">
        <v>459904224</v>
      </c>
      <c r="R67" s="25">
        <f t="shared" si="15"/>
        <v>0.20351769119629107</v>
      </c>
      <c r="S67" s="9">
        <v>51760794.350000001</v>
      </c>
      <c r="T67" s="10">
        <v>51760794.350000001</v>
      </c>
    </row>
    <row r="68" spans="1:20" s="6" customFormat="1" ht="24.75" x14ac:dyDescent="0.25">
      <c r="A68" s="87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62" t="s">
        <v>39</v>
      </c>
      <c r="G68" s="23" t="s">
        <v>226</v>
      </c>
      <c r="H68" s="7" t="s">
        <v>5</v>
      </c>
      <c r="I68" s="8" t="s">
        <v>6</v>
      </c>
      <c r="J68" s="43">
        <v>0</v>
      </c>
      <c r="K68" s="43">
        <v>4978359</v>
      </c>
      <c r="L68" s="43"/>
      <c r="M68" s="43">
        <f t="shared" ref="M68" si="40">J68+K68-L68</f>
        <v>4978359</v>
      </c>
      <c r="N68" s="9">
        <v>0</v>
      </c>
      <c r="O68" s="43">
        <v>4978359</v>
      </c>
      <c r="P68" s="27">
        <f t="shared" ref="P68" si="41">+M68-O68-N68</f>
        <v>0</v>
      </c>
      <c r="Q68" s="9">
        <v>1541132</v>
      </c>
      <c r="R68" s="25">
        <f t="shared" ref="R68" si="42">IF(Q68&gt;1,Q68/(M68-N68),0)</f>
        <v>0.3095662647069044</v>
      </c>
      <c r="S68" s="9">
        <v>1541132</v>
      </c>
      <c r="T68" s="10">
        <v>1541132</v>
      </c>
    </row>
    <row r="69" spans="1:20" s="6" customFormat="1" ht="16.5" x14ac:dyDescent="0.25">
      <c r="A69" s="87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62" t="s">
        <v>40</v>
      </c>
      <c r="G69" s="23" t="s">
        <v>119</v>
      </c>
      <c r="H69" s="7" t="s">
        <v>5</v>
      </c>
      <c r="I69" s="8" t="s">
        <v>6</v>
      </c>
      <c r="J69" s="43">
        <v>877000000</v>
      </c>
      <c r="K69" s="43">
        <v>215000000</v>
      </c>
      <c r="L69" s="43"/>
      <c r="M69" s="43">
        <f t="shared" si="34"/>
        <v>1092000000</v>
      </c>
      <c r="N69" s="9">
        <v>0</v>
      </c>
      <c r="O69" s="43">
        <v>1092000000</v>
      </c>
      <c r="P69" s="27">
        <f t="shared" si="30"/>
        <v>0</v>
      </c>
      <c r="Q69" s="9">
        <v>1033334610</v>
      </c>
      <c r="R69" s="25">
        <f t="shared" si="15"/>
        <v>0.94627711538461534</v>
      </c>
      <c r="S69" s="9">
        <v>471781362.42000002</v>
      </c>
      <c r="T69" s="10">
        <v>471081762.42000002</v>
      </c>
    </row>
    <row r="70" spans="1:20" s="6" customFormat="1" ht="16.5" x14ac:dyDescent="0.25">
      <c r="A70" s="87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62" t="s">
        <v>42</v>
      </c>
      <c r="G70" s="23" t="s">
        <v>120</v>
      </c>
      <c r="H70" s="7" t="s">
        <v>5</v>
      </c>
      <c r="I70" s="8" t="s">
        <v>6</v>
      </c>
      <c r="J70" s="43">
        <v>407000000</v>
      </c>
      <c r="K70" s="43"/>
      <c r="L70" s="43">
        <v>500000</v>
      </c>
      <c r="M70" s="43">
        <f t="shared" si="34"/>
        <v>406500000</v>
      </c>
      <c r="N70" s="9">
        <v>0</v>
      </c>
      <c r="O70" s="43">
        <v>303400000</v>
      </c>
      <c r="P70" s="27">
        <f t="shared" si="30"/>
        <v>103100000</v>
      </c>
      <c r="Q70" s="9">
        <v>303400000</v>
      </c>
      <c r="R70" s="25">
        <f t="shared" si="15"/>
        <v>0.74637146371463714</v>
      </c>
      <c r="S70" s="9">
        <v>87336902</v>
      </c>
      <c r="T70" s="10">
        <v>87336902</v>
      </c>
    </row>
    <row r="71" spans="1:20" s="6" customFormat="1" ht="16.5" x14ac:dyDescent="0.25">
      <c r="A71" s="87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2" t="s">
        <v>45</v>
      </c>
      <c r="G71" s="23" t="s">
        <v>121</v>
      </c>
      <c r="H71" s="7" t="s">
        <v>5</v>
      </c>
      <c r="I71" s="8" t="s">
        <v>6</v>
      </c>
      <c r="J71" s="43">
        <v>188000000</v>
      </c>
      <c r="K71" s="43"/>
      <c r="L71" s="43"/>
      <c r="M71" s="43">
        <f t="shared" si="34"/>
        <v>188000000</v>
      </c>
      <c r="N71" s="9">
        <v>0</v>
      </c>
      <c r="O71" s="43">
        <v>118195000</v>
      </c>
      <c r="P71" s="27">
        <f t="shared" si="30"/>
        <v>69805000</v>
      </c>
      <c r="Q71" s="9">
        <v>118195000</v>
      </c>
      <c r="R71" s="25">
        <f t="shared" si="15"/>
        <v>0.62869680851063825</v>
      </c>
      <c r="S71" s="9">
        <v>30683780</v>
      </c>
      <c r="T71" s="10">
        <v>30683780</v>
      </c>
    </row>
    <row r="72" spans="1:20" s="117" customFormat="1" ht="24.75" x14ac:dyDescent="0.25">
      <c r="A72" s="118" t="s">
        <v>3</v>
      </c>
      <c r="B72" s="119" t="s">
        <v>50</v>
      </c>
      <c r="C72" s="119" t="s">
        <v>50</v>
      </c>
      <c r="D72" s="119" t="s">
        <v>50</v>
      </c>
      <c r="E72" s="119" t="s">
        <v>43</v>
      </c>
      <c r="F72" s="120" t="s">
        <v>46</v>
      </c>
      <c r="G72" s="121" t="s">
        <v>122</v>
      </c>
      <c r="H72" s="119" t="s">
        <v>5</v>
      </c>
      <c r="I72" s="122" t="s">
        <v>6</v>
      </c>
      <c r="J72" s="123">
        <v>5465000000</v>
      </c>
      <c r="K72" s="123"/>
      <c r="L72" s="123">
        <f>520730+9000+29000000+550150+31690406+6516396+70000000</f>
        <v>138286682</v>
      </c>
      <c r="M72" s="123">
        <f>J72+K72-L72</f>
        <v>5326713318</v>
      </c>
      <c r="N72" s="124">
        <v>0</v>
      </c>
      <c r="O72" s="123">
        <v>4577279916</v>
      </c>
      <c r="P72" s="124">
        <f t="shared" si="30"/>
        <v>749433402</v>
      </c>
      <c r="Q72" s="124">
        <v>2991132922</v>
      </c>
      <c r="R72" s="125">
        <f t="shared" si="15"/>
        <v>0.56153442909953133</v>
      </c>
      <c r="S72" s="124">
        <v>2981627571</v>
      </c>
      <c r="T72" s="126">
        <v>2981415221</v>
      </c>
    </row>
    <row r="73" spans="1:20" s="6" customFormat="1" ht="24.75" x14ac:dyDescent="0.25">
      <c r="A73" s="87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62" t="s">
        <v>46</v>
      </c>
      <c r="G73" s="23" t="s">
        <v>122</v>
      </c>
      <c r="H73" s="7" t="s">
        <v>8</v>
      </c>
      <c r="I73" s="8" t="s">
        <v>9</v>
      </c>
      <c r="J73" s="43">
        <v>900000000</v>
      </c>
      <c r="K73" s="43"/>
      <c r="L73" s="43"/>
      <c r="M73" s="43">
        <f t="shared" si="34"/>
        <v>900000000</v>
      </c>
      <c r="N73" s="9">
        <v>0</v>
      </c>
      <c r="O73" s="43">
        <v>0</v>
      </c>
      <c r="P73" s="27">
        <f t="shared" si="30"/>
        <v>900000000</v>
      </c>
      <c r="Q73" s="9">
        <v>0</v>
      </c>
      <c r="R73" s="25">
        <f t="shared" si="15"/>
        <v>0</v>
      </c>
      <c r="S73" s="9">
        <v>0</v>
      </c>
      <c r="T73" s="10">
        <v>0</v>
      </c>
    </row>
    <row r="74" spans="1:20" s="6" customFormat="1" ht="16.5" x14ac:dyDescent="0.25">
      <c r="A74" s="87" t="s">
        <v>3</v>
      </c>
      <c r="B74" s="7" t="s">
        <v>50</v>
      </c>
      <c r="C74" s="7" t="s">
        <v>50</v>
      </c>
      <c r="D74" s="7" t="s">
        <v>50</v>
      </c>
      <c r="E74" s="7" t="s">
        <v>44</v>
      </c>
      <c r="F74" s="62" t="s">
        <v>35</v>
      </c>
      <c r="G74" s="23" t="s">
        <v>123</v>
      </c>
      <c r="H74" s="7" t="s">
        <v>5</v>
      </c>
      <c r="I74" s="8" t="s">
        <v>6</v>
      </c>
      <c r="J74" s="43">
        <v>3620000000</v>
      </c>
      <c r="K74" s="43"/>
      <c r="L74" s="43"/>
      <c r="M74" s="43">
        <f t="shared" si="34"/>
        <v>3620000000</v>
      </c>
      <c r="N74" s="9">
        <v>0</v>
      </c>
      <c r="O74" s="43">
        <v>3410784846</v>
      </c>
      <c r="P74" s="27">
        <f t="shared" si="30"/>
        <v>209215154</v>
      </c>
      <c r="Q74" s="9">
        <v>3357479320</v>
      </c>
      <c r="R74" s="25">
        <f t="shared" si="15"/>
        <v>0.9274804751381216</v>
      </c>
      <c r="S74" s="9">
        <v>3244863917</v>
      </c>
      <c r="T74" s="10">
        <v>3244863917</v>
      </c>
    </row>
    <row r="75" spans="1:20" s="6" customFormat="1" x14ac:dyDescent="0.25">
      <c r="A75" s="87" t="s">
        <v>3</v>
      </c>
      <c r="B75" s="7" t="s">
        <v>50</v>
      </c>
      <c r="C75" s="7" t="s">
        <v>50</v>
      </c>
      <c r="D75" s="7" t="s">
        <v>50</v>
      </c>
      <c r="E75" s="7" t="s">
        <v>44</v>
      </c>
      <c r="F75" s="62" t="s">
        <v>37</v>
      </c>
      <c r="G75" s="23" t="s">
        <v>124</v>
      </c>
      <c r="H75" s="7" t="s">
        <v>5</v>
      </c>
      <c r="I75" s="8" t="s">
        <v>6</v>
      </c>
      <c r="J75" s="43">
        <v>5279000000</v>
      </c>
      <c r="K75" s="43">
        <v>0</v>
      </c>
      <c r="L75" s="43">
        <f>136013392+215000000+5066667</f>
        <v>356080059</v>
      </c>
      <c r="M75" s="43">
        <f t="shared" si="34"/>
        <v>4922919941</v>
      </c>
      <c r="N75" s="9">
        <v>0</v>
      </c>
      <c r="O75" s="43">
        <v>4088122384</v>
      </c>
      <c r="P75" s="27">
        <f t="shared" si="30"/>
        <v>834797557</v>
      </c>
      <c r="Q75" s="9">
        <v>4088122384</v>
      </c>
      <c r="R75" s="25">
        <f t="shared" si="15"/>
        <v>0.8304263390416976</v>
      </c>
      <c r="S75" s="9">
        <v>2462982315.54</v>
      </c>
      <c r="T75" s="10">
        <v>2424319220.3600001</v>
      </c>
    </row>
    <row r="76" spans="1:20" s="6" customFormat="1" ht="16.5" x14ac:dyDescent="0.25">
      <c r="A76" s="87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62" t="s">
        <v>37</v>
      </c>
      <c r="G76" s="103" t="s">
        <v>125</v>
      </c>
      <c r="H76" s="7" t="s">
        <v>5</v>
      </c>
      <c r="I76" s="8" t="s">
        <v>6</v>
      </c>
      <c r="J76" s="43">
        <v>879764280</v>
      </c>
      <c r="K76" s="43">
        <f>300000000+80000000+50000000</f>
        <v>430000000</v>
      </c>
      <c r="L76" s="43">
        <f>17021000+50922730</f>
        <v>67943730</v>
      </c>
      <c r="M76" s="43">
        <f t="shared" si="34"/>
        <v>1241820550</v>
      </c>
      <c r="N76" s="9"/>
      <c r="O76" s="43">
        <v>1211112825</v>
      </c>
      <c r="P76" s="27">
        <f t="shared" si="30"/>
        <v>30707725</v>
      </c>
      <c r="Q76" s="9">
        <v>1211112825</v>
      </c>
      <c r="R76" s="25">
        <f t="shared" si="15"/>
        <v>0.97527201091977422</v>
      </c>
      <c r="S76" s="9">
        <v>737077211</v>
      </c>
      <c r="T76" s="10">
        <v>737077211</v>
      </c>
    </row>
    <row r="77" spans="1:20" s="6" customFormat="1" ht="41.25" x14ac:dyDescent="0.25">
      <c r="A77" s="87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62" t="s">
        <v>39</v>
      </c>
      <c r="G77" s="23" t="s">
        <v>136</v>
      </c>
      <c r="H77" s="7" t="s">
        <v>5</v>
      </c>
      <c r="I77" s="8" t="s">
        <v>6</v>
      </c>
      <c r="J77" s="43">
        <v>2108109993</v>
      </c>
      <c r="K77" s="43">
        <f>520730+9000+203225766+2000000+3000000+50922730+17021000+63435412</f>
        <v>340134638</v>
      </c>
      <c r="L77" s="43">
        <f>15000000+26449310+3000000+10846396</f>
        <v>55295706</v>
      </c>
      <c r="M77" s="43">
        <f>J77+K77-L77</f>
        <v>2392948925</v>
      </c>
      <c r="N77" s="27">
        <v>0</v>
      </c>
      <c r="O77" s="43">
        <v>1408593846</v>
      </c>
      <c r="P77" s="27">
        <f t="shared" si="30"/>
        <v>984355079</v>
      </c>
      <c r="Q77" s="9">
        <v>1238375266</v>
      </c>
      <c r="R77" s="25">
        <f t="shared" ref="R77:R88" si="43">IF(Q77&gt;1,Q77/(M77-N77),0)</f>
        <v>0.51751011192184138</v>
      </c>
      <c r="S77" s="9">
        <v>734359423.5</v>
      </c>
      <c r="T77" s="10">
        <v>734359423.5</v>
      </c>
    </row>
    <row r="78" spans="1:20" s="6" customFormat="1" ht="33" x14ac:dyDescent="0.25">
      <c r="A78" s="87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62" t="s">
        <v>40</v>
      </c>
      <c r="G78" s="23" t="s">
        <v>126</v>
      </c>
      <c r="H78" s="7" t="s">
        <v>5</v>
      </c>
      <c r="I78" s="8" t="s">
        <v>6</v>
      </c>
      <c r="J78" s="43">
        <v>168000000</v>
      </c>
      <c r="K78" s="43">
        <f>12374138+12521255</f>
        <v>24895393</v>
      </c>
      <c r="L78" s="43">
        <v>4</v>
      </c>
      <c r="M78" s="43">
        <f t="shared" si="34"/>
        <v>192895389</v>
      </c>
      <c r="N78" s="9">
        <v>0</v>
      </c>
      <c r="O78" s="43">
        <v>93854709.650000006</v>
      </c>
      <c r="P78" s="27">
        <f t="shared" si="30"/>
        <v>99040679.349999994</v>
      </c>
      <c r="Q78" s="9">
        <v>93854709.650000006</v>
      </c>
      <c r="R78" s="25">
        <f t="shared" si="43"/>
        <v>0.48655755918561644</v>
      </c>
      <c r="S78" s="9">
        <v>93854708.760000005</v>
      </c>
      <c r="T78" s="10">
        <v>84671085.760000005</v>
      </c>
    </row>
    <row r="79" spans="1:20" s="6" customFormat="1" x14ac:dyDescent="0.25">
      <c r="A79" s="87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62" t="s">
        <v>42</v>
      </c>
      <c r="G79" s="23" t="s">
        <v>127</v>
      </c>
      <c r="H79" s="7" t="s">
        <v>5</v>
      </c>
      <c r="I79" s="8" t="s">
        <v>6</v>
      </c>
      <c r="J79" s="43">
        <v>23946277574</v>
      </c>
      <c r="K79" s="43"/>
      <c r="L79" s="43">
        <f>503225766+80000000+50000000+75668582+77762727+79369300</f>
        <v>866026375</v>
      </c>
      <c r="M79" s="43">
        <f>J79+K79-L79</f>
        <v>23080251199</v>
      </c>
      <c r="N79" s="9">
        <v>0</v>
      </c>
      <c r="O79" s="43">
        <v>19919286507.82</v>
      </c>
      <c r="P79" s="27">
        <f t="shared" si="30"/>
        <v>3160964691.1800003</v>
      </c>
      <c r="Q79" s="9">
        <v>19919286507.82</v>
      </c>
      <c r="R79" s="25">
        <f t="shared" si="43"/>
        <v>0.86304461489929729</v>
      </c>
      <c r="S79" s="9">
        <v>10406359620</v>
      </c>
      <c r="T79" s="10">
        <v>10404301743</v>
      </c>
    </row>
    <row r="80" spans="1:20" s="6" customFormat="1" x14ac:dyDescent="0.25">
      <c r="A80" s="87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62" t="s">
        <v>42</v>
      </c>
      <c r="G80" s="23" t="s">
        <v>127</v>
      </c>
      <c r="H80" s="7" t="s">
        <v>5</v>
      </c>
      <c r="I80" s="8">
        <v>20</v>
      </c>
      <c r="J80" s="43">
        <v>1973920000</v>
      </c>
      <c r="K80" s="43"/>
      <c r="L80" s="43"/>
      <c r="M80" s="43">
        <f>J80+K80-L80</f>
        <v>1973920000</v>
      </c>
      <c r="N80" s="9">
        <v>0</v>
      </c>
      <c r="O80" s="43">
        <v>0</v>
      </c>
      <c r="P80" s="27">
        <f t="shared" ref="P80" si="44">+M80-O80-N80</f>
        <v>1973920000</v>
      </c>
      <c r="Q80" s="9">
        <v>0</v>
      </c>
      <c r="R80" s="25">
        <f t="shared" ref="R80" si="45">IF(Q80&gt;1,Q80/(M80-N80),0)</f>
        <v>0</v>
      </c>
      <c r="S80" s="9">
        <v>0</v>
      </c>
      <c r="T80" s="10">
        <v>0</v>
      </c>
    </row>
    <row r="81" spans="1:259" s="6" customFormat="1" ht="33" x14ac:dyDescent="0.25">
      <c r="A81" s="87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62" t="s">
        <v>44</v>
      </c>
      <c r="G81" s="23" t="s">
        <v>128</v>
      </c>
      <c r="H81" s="7" t="s">
        <v>5</v>
      </c>
      <c r="I81" s="60" t="s">
        <v>6</v>
      </c>
      <c r="J81" s="43">
        <v>997000000</v>
      </c>
      <c r="K81" s="43">
        <f>136013392+15000000+550150+14327315+3000000</f>
        <v>168890857</v>
      </c>
      <c r="L81" s="43">
        <f>2000000+92031909+3000000+80000000+32743750+2291180+35000000+12000000</f>
        <v>259066839</v>
      </c>
      <c r="M81" s="43">
        <f>J81+K81-L81</f>
        <v>906824018</v>
      </c>
      <c r="N81" s="9">
        <v>0</v>
      </c>
      <c r="O81" s="43">
        <v>571906275</v>
      </c>
      <c r="P81" s="27">
        <f t="shared" si="30"/>
        <v>334917743</v>
      </c>
      <c r="Q81" s="9">
        <v>455078960</v>
      </c>
      <c r="R81" s="25">
        <f t="shared" si="43"/>
        <v>0.50183822987361593</v>
      </c>
      <c r="S81" s="9">
        <v>164659145.5</v>
      </c>
      <c r="T81" s="10">
        <v>160651114.25</v>
      </c>
    </row>
    <row r="82" spans="1:259" s="6" customFormat="1" ht="24.75" x14ac:dyDescent="0.25">
      <c r="A82" s="87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62" t="s">
        <v>39</v>
      </c>
      <c r="G82" s="23" t="s">
        <v>129</v>
      </c>
      <c r="H82" s="7" t="s">
        <v>5</v>
      </c>
      <c r="I82" s="8" t="s">
        <v>6</v>
      </c>
      <c r="J82" s="43">
        <v>482000000</v>
      </c>
      <c r="K82" s="43">
        <f>11350590+29000000+47449910+31690406</f>
        <v>119490906</v>
      </c>
      <c r="L82" s="43">
        <v>0</v>
      </c>
      <c r="M82" s="43">
        <f>J82+K82-L82</f>
        <v>601490906</v>
      </c>
      <c r="N82" s="9"/>
      <c r="O82" s="43">
        <v>371796906</v>
      </c>
      <c r="P82" s="27">
        <f t="shared" si="30"/>
        <v>229694000</v>
      </c>
      <c r="Q82" s="9">
        <v>269106500</v>
      </c>
      <c r="R82" s="25">
        <f t="shared" si="43"/>
        <v>0.4473991166210583</v>
      </c>
      <c r="S82" s="9">
        <v>0</v>
      </c>
      <c r="T82" s="10">
        <v>0</v>
      </c>
    </row>
    <row r="83" spans="1:259" s="6" customFormat="1" ht="41.25" x14ac:dyDescent="0.25">
      <c r="A83" s="87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62" t="s">
        <v>40</v>
      </c>
      <c r="G83" s="23" t="s">
        <v>130</v>
      </c>
      <c r="H83" s="7" t="s">
        <v>5</v>
      </c>
      <c r="I83" s="8" t="s">
        <v>6</v>
      </c>
      <c r="J83" s="43">
        <v>863000000</v>
      </c>
      <c r="K83" s="43">
        <f>69691050+22000000+800000+5500000</f>
        <v>97991050</v>
      </c>
      <c r="L83" s="43">
        <f>915932+47400000</f>
        <v>48315932</v>
      </c>
      <c r="M83" s="43">
        <f t="shared" si="34"/>
        <v>912675118</v>
      </c>
      <c r="N83" s="9">
        <v>0</v>
      </c>
      <c r="O83" s="43">
        <v>601954180.73000002</v>
      </c>
      <c r="P83" s="27">
        <f t="shared" si="30"/>
        <v>310720937.26999998</v>
      </c>
      <c r="Q83" s="9">
        <v>585407580.73000002</v>
      </c>
      <c r="R83" s="25">
        <f t="shared" si="43"/>
        <v>0.6414194593283522</v>
      </c>
      <c r="S83" s="9">
        <v>384877082.94999999</v>
      </c>
      <c r="T83" s="10">
        <v>375399072.64999998</v>
      </c>
    </row>
    <row r="84" spans="1:259" s="6" customFormat="1" ht="16.5" x14ac:dyDescent="0.25">
      <c r="A84" s="87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62" t="s">
        <v>43</v>
      </c>
      <c r="G84" s="23" t="s">
        <v>137</v>
      </c>
      <c r="H84" s="7" t="s">
        <v>5</v>
      </c>
      <c r="I84" s="8" t="s">
        <v>6</v>
      </c>
      <c r="J84" s="43">
        <v>781000000</v>
      </c>
      <c r="K84" s="43">
        <f>4000000+20000000+8000000</f>
        <v>32000000</v>
      </c>
      <c r="L84" s="43"/>
      <c r="M84" s="43">
        <f>J84+K84-L84</f>
        <v>813000000</v>
      </c>
      <c r="N84" s="9">
        <v>0</v>
      </c>
      <c r="O84" s="43">
        <v>798996104</v>
      </c>
      <c r="P84" s="27">
        <f t="shared" si="30"/>
        <v>14003896</v>
      </c>
      <c r="Q84" s="9">
        <v>612996104</v>
      </c>
      <c r="R84" s="25">
        <f t="shared" si="43"/>
        <v>0.75399274784747849</v>
      </c>
      <c r="S84" s="9">
        <v>18235214</v>
      </c>
      <c r="T84" s="10">
        <v>18235214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  <c r="IW84" s="6">
        <v>408287880</v>
      </c>
      <c r="IX84" s="6">
        <v>408287880</v>
      </c>
      <c r="IY84" s="6">
        <v>408287880</v>
      </c>
    </row>
    <row r="85" spans="1:259" s="6" customFormat="1" ht="16.5" x14ac:dyDescent="0.25">
      <c r="A85" s="87" t="s">
        <v>3</v>
      </c>
      <c r="B85" s="7" t="s">
        <v>50</v>
      </c>
      <c r="C85" s="7" t="s">
        <v>50</v>
      </c>
      <c r="D85" s="7" t="s">
        <v>50</v>
      </c>
      <c r="E85" s="7" t="s">
        <v>47</v>
      </c>
      <c r="F85" s="62"/>
      <c r="G85" s="23" t="s">
        <v>73</v>
      </c>
      <c r="H85" s="7" t="s">
        <v>5</v>
      </c>
      <c r="I85" s="8" t="s">
        <v>6</v>
      </c>
      <c r="J85" s="43">
        <v>1926000000</v>
      </c>
      <c r="K85" s="43"/>
      <c r="L85" s="43"/>
      <c r="M85" s="43">
        <f t="shared" si="34"/>
        <v>1926000000</v>
      </c>
      <c r="N85" s="9">
        <v>0</v>
      </c>
      <c r="O85" s="43">
        <v>1926000000</v>
      </c>
      <c r="P85" s="27">
        <f t="shared" si="30"/>
        <v>0</v>
      </c>
      <c r="Q85" s="9">
        <v>1302693083.7</v>
      </c>
      <c r="R85" s="25">
        <f t="shared" si="43"/>
        <v>0.67637231760124616</v>
      </c>
      <c r="S85" s="9">
        <v>1278193051.7</v>
      </c>
      <c r="T85" s="10">
        <v>1264269522.7</v>
      </c>
    </row>
    <row r="86" spans="1:259" ht="16.5" customHeight="1" x14ac:dyDescent="0.25">
      <c r="A86" s="88" t="s">
        <v>3</v>
      </c>
      <c r="B86" s="77" t="s">
        <v>50</v>
      </c>
      <c r="C86" s="77"/>
      <c r="D86" s="77"/>
      <c r="E86" s="77"/>
      <c r="F86" s="77"/>
      <c r="G86" s="77" t="s">
        <v>78</v>
      </c>
      <c r="H86" s="77" t="s">
        <v>5</v>
      </c>
      <c r="I86" s="77" t="s">
        <v>6</v>
      </c>
      <c r="J86" s="61">
        <f t="shared" ref="J86:Q86" si="46">J45+J36</f>
        <v>54584571847</v>
      </c>
      <c r="K86" s="61">
        <f t="shared" si="46"/>
        <v>2818177371</v>
      </c>
      <c r="L86" s="61">
        <f t="shared" si="46"/>
        <v>2824693767</v>
      </c>
      <c r="M86" s="61">
        <f t="shared" si="46"/>
        <v>54578055451</v>
      </c>
      <c r="N86" s="127">
        <f t="shared" si="46"/>
        <v>0</v>
      </c>
      <c r="O86" s="61">
        <f t="shared" si="46"/>
        <v>44358781235.100006</v>
      </c>
      <c r="P86" s="61">
        <f t="shared" si="46"/>
        <v>10219274215.9</v>
      </c>
      <c r="Q86" s="61">
        <f t="shared" si="46"/>
        <v>40513524280.800003</v>
      </c>
      <c r="R86" s="73">
        <f t="shared" si="43"/>
        <v>0.74230428229845813</v>
      </c>
      <c r="S86" s="61">
        <f>S45+S36</f>
        <v>23671551111.969997</v>
      </c>
      <c r="T86" s="70">
        <f>T45+T36</f>
        <v>23561343021.57</v>
      </c>
      <c r="U86" s="32"/>
    </row>
    <row r="87" spans="1:259" ht="16.5" customHeight="1" x14ac:dyDescent="0.25">
      <c r="A87" s="88" t="s">
        <v>3</v>
      </c>
      <c r="B87" s="77" t="s">
        <v>50</v>
      </c>
      <c r="C87" s="77"/>
      <c r="D87" s="77"/>
      <c r="E87" s="77"/>
      <c r="F87" s="77"/>
      <c r="G87" s="77" t="s">
        <v>78</v>
      </c>
      <c r="H87" s="77" t="s">
        <v>8</v>
      </c>
      <c r="I87" s="77">
        <v>20</v>
      </c>
      <c r="J87" s="61">
        <f t="shared" ref="J87:Q87" si="47">J46</f>
        <v>2873920000</v>
      </c>
      <c r="K87" s="61">
        <f t="shared" si="47"/>
        <v>0</v>
      </c>
      <c r="L87" s="61">
        <f t="shared" si="47"/>
        <v>0</v>
      </c>
      <c r="M87" s="61">
        <f t="shared" si="47"/>
        <v>2873920000</v>
      </c>
      <c r="N87" s="61">
        <f t="shared" si="47"/>
        <v>0</v>
      </c>
      <c r="O87" s="61">
        <f t="shared" si="47"/>
        <v>0</v>
      </c>
      <c r="P87" s="61">
        <f t="shared" si="47"/>
        <v>2873920000</v>
      </c>
      <c r="Q87" s="61">
        <f t="shared" si="47"/>
        <v>0</v>
      </c>
      <c r="R87" s="73">
        <f t="shared" si="43"/>
        <v>0</v>
      </c>
      <c r="S87" s="61">
        <f>S46</f>
        <v>0</v>
      </c>
      <c r="T87" s="70">
        <f>T46</f>
        <v>0</v>
      </c>
      <c r="U87" s="32"/>
    </row>
    <row r="88" spans="1:259" ht="15.75" customHeight="1" thickBot="1" x14ac:dyDescent="0.3">
      <c r="A88" s="140" t="s">
        <v>81</v>
      </c>
      <c r="B88" s="141"/>
      <c r="C88" s="141"/>
      <c r="D88" s="141"/>
      <c r="E88" s="141"/>
      <c r="F88" s="141"/>
      <c r="G88" s="141"/>
      <c r="H88" s="141"/>
      <c r="I88" s="142"/>
      <c r="J88" s="74">
        <f t="shared" ref="J88:Q88" si="48">SUM(J86:J87)</f>
        <v>57458491847</v>
      </c>
      <c r="K88" s="74">
        <f t="shared" si="48"/>
        <v>2818177371</v>
      </c>
      <c r="L88" s="74">
        <f t="shared" si="48"/>
        <v>2824693767</v>
      </c>
      <c r="M88" s="74">
        <f t="shared" si="48"/>
        <v>57451975451</v>
      </c>
      <c r="N88" s="74">
        <f t="shared" ref="N88" si="49">SUM(N86:N87)</f>
        <v>0</v>
      </c>
      <c r="O88" s="74">
        <f t="shared" si="48"/>
        <v>44358781235.100006</v>
      </c>
      <c r="P88" s="74">
        <f t="shared" si="48"/>
        <v>13093194215.9</v>
      </c>
      <c r="Q88" s="74">
        <f t="shared" si="48"/>
        <v>40513524280.800003</v>
      </c>
      <c r="R88" s="73">
        <f t="shared" si="43"/>
        <v>0.70517199735548575</v>
      </c>
      <c r="S88" s="74">
        <f>SUM(S86:S87)</f>
        <v>23671551111.969997</v>
      </c>
      <c r="T88" s="75">
        <f>SUM(T86:T87)</f>
        <v>23561343021.57</v>
      </c>
    </row>
    <row r="89" spans="1:259" ht="15.75" customHeight="1" thickBot="1" x14ac:dyDescent="0.3">
      <c r="A89" s="134" t="s">
        <v>85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6"/>
    </row>
    <row r="90" spans="1:259" s="45" customFormat="1" ht="24.75" customHeight="1" x14ac:dyDescent="0.25">
      <c r="A90" s="86" t="s">
        <v>3</v>
      </c>
      <c r="B90" s="11" t="s">
        <v>51</v>
      </c>
      <c r="C90" s="11" t="s">
        <v>51</v>
      </c>
      <c r="D90" s="11"/>
      <c r="E90" s="11"/>
      <c r="F90" s="11"/>
      <c r="G90" s="12" t="s">
        <v>220</v>
      </c>
      <c r="H90" s="11" t="s">
        <v>5</v>
      </c>
      <c r="I90" s="13">
        <v>10</v>
      </c>
      <c r="J90" s="14">
        <f>J91</f>
        <v>1700000000</v>
      </c>
      <c r="K90" s="14">
        <f t="shared" ref="K90:L90" si="50">K91</f>
        <v>0</v>
      </c>
      <c r="L90" s="24">
        <f t="shared" si="50"/>
        <v>0</v>
      </c>
      <c r="M90" s="24">
        <f t="shared" ref="M90:P91" si="51">M91</f>
        <v>1700000000</v>
      </c>
      <c r="N90" s="14">
        <f>N91</f>
        <v>0</v>
      </c>
      <c r="O90" s="14">
        <f t="shared" si="51"/>
        <v>1700000000</v>
      </c>
      <c r="P90" s="24">
        <f t="shared" si="51"/>
        <v>0</v>
      </c>
      <c r="Q90" s="14">
        <f t="shared" ref="Q90" si="52">Q91</f>
        <v>1694128860</v>
      </c>
      <c r="R90" s="47">
        <f t="shared" ref="R90:R98" si="53">IF(Q90&gt;1,Q90/(M90-N90),0)</f>
        <v>0.99654638823529407</v>
      </c>
      <c r="S90" s="14">
        <f>S91</f>
        <v>191595279</v>
      </c>
      <c r="T90" s="22">
        <f>T91</f>
        <v>191595279</v>
      </c>
    </row>
    <row r="91" spans="1:259" s="45" customFormat="1" ht="24.75" customHeight="1" x14ac:dyDescent="0.25">
      <c r="A91" s="86" t="s">
        <v>3</v>
      </c>
      <c r="B91" s="11" t="s">
        <v>51</v>
      </c>
      <c r="C91" s="11" t="s">
        <v>51</v>
      </c>
      <c r="D91" s="11" t="s">
        <v>34</v>
      </c>
      <c r="E91" s="11"/>
      <c r="F91" s="11"/>
      <c r="G91" s="12" t="s">
        <v>87</v>
      </c>
      <c r="H91" s="11" t="s">
        <v>5</v>
      </c>
      <c r="I91" s="13">
        <v>10</v>
      </c>
      <c r="J91" s="14">
        <f>J92</f>
        <v>1700000000</v>
      </c>
      <c r="K91" s="14">
        <f>K92</f>
        <v>0</v>
      </c>
      <c r="L91" s="24">
        <f>L92</f>
        <v>0</v>
      </c>
      <c r="M91" s="24">
        <f t="shared" si="51"/>
        <v>1700000000</v>
      </c>
      <c r="N91" s="14">
        <f t="shared" si="51"/>
        <v>0</v>
      </c>
      <c r="O91" s="14">
        <f t="shared" si="51"/>
        <v>1700000000</v>
      </c>
      <c r="P91" s="24">
        <f t="shared" si="51"/>
        <v>0</v>
      </c>
      <c r="Q91" s="14">
        <f>Q92</f>
        <v>1694128860</v>
      </c>
      <c r="R91" s="47">
        <f t="shared" si="53"/>
        <v>0.99654638823529407</v>
      </c>
      <c r="S91" s="14">
        <f>S92</f>
        <v>191595279</v>
      </c>
      <c r="T91" s="22">
        <f>T92</f>
        <v>191595279</v>
      </c>
    </row>
    <row r="92" spans="1:259" s="45" customFormat="1" ht="24.75" customHeight="1" x14ac:dyDescent="0.25">
      <c r="A92" s="87" t="s">
        <v>3</v>
      </c>
      <c r="B92" s="7" t="s">
        <v>51</v>
      </c>
      <c r="C92" s="7" t="s">
        <v>51</v>
      </c>
      <c r="D92" s="7" t="s">
        <v>34</v>
      </c>
      <c r="E92" s="62" t="s">
        <v>219</v>
      </c>
      <c r="F92" s="7"/>
      <c r="G92" s="23" t="s">
        <v>218</v>
      </c>
      <c r="H92" s="7" t="s">
        <v>5</v>
      </c>
      <c r="I92" s="8">
        <v>10</v>
      </c>
      <c r="J92" s="27">
        <v>1700000000</v>
      </c>
      <c r="K92" s="27">
        <v>0</v>
      </c>
      <c r="L92" s="27"/>
      <c r="M92" s="27">
        <f t="shared" ref="M92:M99" si="54">J92+K92-L92</f>
        <v>1700000000</v>
      </c>
      <c r="N92" s="27">
        <v>0</v>
      </c>
      <c r="O92" s="9">
        <v>1700000000</v>
      </c>
      <c r="P92" s="27">
        <f>+M92-O92-N92</f>
        <v>0</v>
      </c>
      <c r="Q92" s="9">
        <v>1694128860</v>
      </c>
      <c r="R92" s="47">
        <f>IF(Q92&gt;1,Q92/(M92-N92),0)</f>
        <v>0.99654638823529407</v>
      </c>
      <c r="S92" s="9">
        <v>191595279</v>
      </c>
      <c r="T92" s="10">
        <v>191595279</v>
      </c>
    </row>
    <row r="93" spans="1:259" s="45" customFormat="1" ht="24.75" customHeight="1" x14ac:dyDescent="0.25">
      <c r="A93" s="86" t="s">
        <v>3</v>
      </c>
      <c r="B93" s="11" t="s">
        <v>51</v>
      </c>
      <c r="C93" s="11" t="s">
        <v>70</v>
      </c>
      <c r="D93" s="11"/>
      <c r="E93" s="11"/>
      <c r="F93" s="11"/>
      <c r="G93" s="12" t="s">
        <v>133</v>
      </c>
      <c r="H93" s="11" t="s">
        <v>5</v>
      </c>
      <c r="I93" s="13">
        <v>10</v>
      </c>
      <c r="J93" s="14">
        <f>J94</f>
        <v>1416000000</v>
      </c>
      <c r="K93" s="24">
        <f t="shared" ref="K93:L94" si="55">K94</f>
        <v>0</v>
      </c>
      <c r="L93" s="24">
        <f t="shared" si="55"/>
        <v>0</v>
      </c>
      <c r="M93" s="24">
        <f>J93+K93-L93</f>
        <v>1416000000</v>
      </c>
      <c r="N93" s="14">
        <v>0</v>
      </c>
      <c r="O93" s="14">
        <f t="shared" ref="O93:Q94" si="56">O94</f>
        <v>1263867304</v>
      </c>
      <c r="P93" s="24">
        <f>P94</f>
        <v>152132696</v>
      </c>
      <c r="Q93" s="14">
        <f t="shared" si="56"/>
        <v>1263867304</v>
      </c>
      <c r="R93" s="47">
        <f>IF(Q93&gt;1,Q93/(M93-N93),0)</f>
        <v>0.89256165536723164</v>
      </c>
      <c r="S93" s="14">
        <f>S94</f>
        <v>1200783420</v>
      </c>
      <c r="T93" s="22">
        <f>T94</f>
        <v>1200783420</v>
      </c>
    </row>
    <row r="94" spans="1:259" s="45" customFormat="1" ht="24.75" customHeight="1" x14ac:dyDescent="0.25">
      <c r="A94" s="86" t="s">
        <v>3</v>
      </c>
      <c r="B94" s="11" t="s">
        <v>51</v>
      </c>
      <c r="C94" s="11" t="s">
        <v>70</v>
      </c>
      <c r="D94" s="11" t="s">
        <v>50</v>
      </c>
      <c r="E94" s="11"/>
      <c r="F94" s="11"/>
      <c r="G94" s="12" t="s">
        <v>102</v>
      </c>
      <c r="H94" s="11" t="s">
        <v>5</v>
      </c>
      <c r="I94" s="13">
        <v>10</v>
      </c>
      <c r="J94" s="24">
        <f>J95</f>
        <v>1416000000</v>
      </c>
      <c r="K94" s="24">
        <f t="shared" si="55"/>
        <v>0</v>
      </c>
      <c r="L94" s="24">
        <f t="shared" si="55"/>
        <v>0</v>
      </c>
      <c r="M94" s="24">
        <f>J94+K94-L94</f>
        <v>1416000000</v>
      </c>
      <c r="N94" s="24"/>
      <c r="O94" s="24">
        <f t="shared" si="56"/>
        <v>1263867304</v>
      </c>
      <c r="P94" s="24">
        <f t="shared" si="56"/>
        <v>152132696</v>
      </c>
      <c r="Q94" s="14">
        <f t="shared" si="56"/>
        <v>1263867304</v>
      </c>
      <c r="R94" s="47">
        <f t="shared" si="53"/>
        <v>0.89256165536723164</v>
      </c>
      <c r="S94" s="14">
        <f>S95</f>
        <v>1200783420</v>
      </c>
      <c r="T94" s="22">
        <f>T95</f>
        <v>1200783420</v>
      </c>
    </row>
    <row r="95" spans="1:259" s="6" customFormat="1" ht="24.75" customHeight="1" x14ac:dyDescent="0.25">
      <c r="A95" s="86" t="s">
        <v>3</v>
      </c>
      <c r="B95" s="11" t="s">
        <v>51</v>
      </c>
      <c r="C95" s="11" t="s">
        <v>70</v>
      </c>
      <c r="D95" s="11" t="s">
        <v>50</v>
      </c>
      <c r="E95" s="11" t="s">
        <v>71</v>
      </c>
      <c r="F95" s="11"/>
      <c r="G95" s="12" t="s">
        <v>210</v>
      </c>
      <c r="H95" s="11" t="s">
        <v>5</v>
      </c>
      <c r="I95" s="13">
        <v>10</v>
      </c>
      <c r="J95" s="24">
        <f>J96+J97</f>
        <v>1416000000</v>
      </c>
      <c r="K95" s="24">
        <f t="shared" ref="K95:L95" si="57">K96+K97</f>
        <v>0</v>
      </c>
      <c r="L95" s="24">
        <f t="shared" si="57"/>
        <v>0</v>
      </c>
      <c r="M95" s="24">
        <f>J95+K95-L95</f>
        <v>1416000000</v>
      </c>
      <c r="N95" s="24">
        <f>N96+N97</f>
        <v>0</v>
      </c>
      <c r="O95" s="24">
        <f>O96+O97</f>
        <v>1263867304</v>
      </c>
      <c r="P95" s="24">
        <f>P96+P97</f>
        <v>152132696</v>
      </c>
      <c r="Q95" s="24">
        <f>Q96+Q97</f>
        <v>1263867304</v>
      </c>
      <c r="R95" s="26">
        <f t="shared" si="53"/>
        <v>0.89256165536723164</v>
      </c>
      <c r="S95" s="14">
        <f>S96+S97</f>
        <v>1200783420</v>
      </c>
      <c r="T95" s="22">
        <f>T96+T97</f>
        <v>1200783420</v>
      </c>
    </row>
    <row r="96" spans="1:259" s="6" customFormat="1" ht="16.5" customHeight="1" x14ac:dyDescent="0.25">
      <c r="A96" s="87" t="s">
        <v>3</v>
      </c>
      <c r="B96" s="7" t="s">
        <v>51</v>
      </c>
      <c r="C96" s="7" t="s">
        <v>70</v>
      </c>
      <c r="D96" s="7" t="s">
        <v>50</v>
      </c>
      <c r="E96" s="7" t="s">
        <v>71</v>
      </c>
      <c r="F96" s="7" t="s">
        <v>35</v>
      </c>
      <c r="G96" s="23" t="s">
        <v>74</v>
      </c>
      <c r="H96" s="7" t="s">
        <v>5</v>
      </c>
      <c r="I96" s="7" t="s">
        <v>6</v>
      </c>
      <c r="J96" s="27">
        <v>946269000</v>
      </c>
      <c r="K96" s="27"/>
      <c r="L96" s="27"/>
      <c r="M96" s="27">
        <f t="shared" si="54"/>
        <v>946269000</v>
      </c>
      <c r="N96" s="9"/>
      <c r="O96" s="27">
        <v>830705595</v>
      </c>
      <c r="P96" s="27">
        <f>+M96-O96-N96</f>
        <v>115563405</v>
      </c>
      <c r="Q96" s="27">
        <v>830705595</v>
      </c>
      <c r="R96" s="25">
        <f t="shared" si="53"/>
        <v>0.87787467939877561</v>
      </c>
      <c r="S96" s="27">
        <v>767621711</v>
      </c>
      <c r="T96" s="48">
        <v>767621711</v>
      </c>
    </row>
    <row r="97" spans="1:22" s="45" customFormat="1" ht="16.5" customHeight="1" x14ac:dyDescent="0.25">
      <c r="A97" s="87" t="s">
        <v>3</v>
      </c>
      <c r="B97" s="7" t="s">
        <v>51</v>
      </c>
      <c r="C97" s="7" t="s">
        <v>70</v>
      </c>
      <c r="D97" s="7" t="s">
        <v>50</v>
      </c>
      <c r="E97" s="7" t="s">
        <v>71</v>
      </c>
      <c r="F97" s="7" t="s">
        <v>37</v>
      </c>
      <c r="G97" s="23" t="s">
        <v>75</v>
      </c>
      <c r="H97" s="7" t="s">
        <v>5</v>
      </c>
      <c r="I97" s="7" t="s">
        <v>6</v>
      </c>
      <c r="J97" s="27">
        <v>469731000</v>
      </c>
      <c r="K97" s="27"/>
      <c r="L97" s="27"/>
      <c r="M97" s="27">
        <f t="shared" si="54"/>
        <v>469731000</v>
      </c>
      <c r="N97" s="9">
        <v>0</v>
      </c>
      <c r="O97" s="27">
        <v>433161709</v>
      </c>
      <c r="P97" s="27">
        <f>+M97-O97-N97</f>
        <v>36569291</v>
      </c>
      <c r="Q97" s="27">
        <v>433161709</v>
      </c>
      <c r="R97" s="25">
        <f t="shared" si="53"/>
        <v>0.92214844027752052</v>
      </c>
      <c r="S97" s="27">
        <v>433161709</v>
      </c>
      <c r="T97" s="48">
        <v>433161709</v>
      </c>
    </row>
    <row r="98" spans="1:22" s="45" customFormat="1" ht="16.5" customHeight="1" x14ac:dyDescent="0.25">
      <c r="A98" s="86" t="s">
        <v>3</v>
      </c>
      <c r="B98" s="11" t="s">
        <v>51</v>
      </c>
      <c r="C98" s="11" t="s">
        <v>6</v>
      </c>
      <c r="D98" s="11"/>
      <c r="E98" s="11"/>
      <c r="F98" s="11"/>
      <c r="G98" s="12" t="s">
        <v>227</v>
      </c>
      <c r="H98" s="11" t="s">
        <v>5</v>
      </c>
      <c r="I98" s="11">
        <v>11</v>
      </c>
      <c r="J98" s="24">
        <f>J99</f>
        <v>0</v>
      </c>
      <c r="K98" s="24">
        <f>K99</f>
        <v>3274050</v>
      </c>
      <c r="L98" s="24"/>
      <c r="M98" s="24">
        <f t="shared" si="54"/>
        <v>3274050</v>
      </c>
      <c r="N98" s="24">
        <f t="shared" ref="N98" si="58">K98+L98-M98</f>
        <v>0</v>
      </c>
      <c r="O98" s="24">
        <f>O99</f>
        <v>3274050</v>
      </c>
      <c r="P98" s="27">
        <f>(P99)</f>
        <v>0</v>
      </c>
      <c r="Q98" s="24">
        <f>Q99</f>
        <v>3274050</v>
      </c>
      <c r="R98" s="25">
        <f t="shared" si="53"/>
        <v>1</v>
      </c>
      <c r="S98" s="24">
        <f>S99</f>
        <v>3274050</v>
      </c>
      <c r="T98" s="24">
        <f>T99</f>
        <v>3274050</v>
      </c>
    </row>
    <row r="99" spans="1:22" s="45" customFormat="1" ht="16.5" customHeight="1" x14ac:dyDescent="0.25">
      <c r="A99" s="86" t="s">
        <v>3</v>
      </c>
      <c r="B99" s="68" t="s">
        <v>51</v>
      </c>
      <c r="C99" s="7" t="s">
        <v>6</v>
      </c>
      <c r="D99" s="7"/>
      <c r="E99" s="7"/>
      <c r="F99" s="7"/>
      <c r="G99" s="103" t="s">
        <v>227</v>
      </c>
      <c r="H99" s="7" t="s">
        <v>5</v>
      </c>
      <c r="I99" s="7">
        <v>11</v>
      </c>
      <c r="J99" s="27"/>
      <c r="K99" s="27">
        <v>3274050</v>
      </c>
      <c r="L99" s="27"/>
      <c r="M99" s="27">
        <f t="shared" si="54"/>
        <v>3274050</v>
      </c>
      <c r="N99" s="9"/>
      <c r="O99" s="27">
        <v>3274050</v>
      </c>
      <c r="P99" s="27">
        <f t="shared" ref="P99" si="59">+M99-O99-N99</f>
        <v>0</v>
      </c>
      <c r="Q99" s="27">
        <v>3274050</v>
      </c>
      <c r="R99" s="25"/>
      <c r="S99" s="27">
        <v>3274050</v>
      </c>
      <c r="T99" s="48">
        <v>3274050</v>
      </c>
    </row>
    <row r="100" spans="1:22" s="52" customFormat="1" ht="16.5" customHeight="1" x14ac:dyDescent="0.25">
      <c r="A100" s="88" t="s">
        <v>3</v>
      </c>
      <c r="B100" s="77" t="s">
        <v>51</v>
      </c>
      <c r="C100" s="77"/>
      <c r="D100" s="77"/>
      <c r="E100" s="77"/>
      <c r="F100" s="77"/>
      <c r="G100" s="78" t="s">
        <v>17</v>
      </c>
      <c r="H100" s="77" t="s">
        <v>5</v>
      </c>
      <c r="I100" s="79" t="s">
        <v>6</v>
      </c>
      <c r="J100" s="61">
        <f>+J93+J90+J98</f>
        <v>3116000000</v>
      </c>
      <c r="K100" s="61">
        <f t="shared" ref="K100:T100" si="60">+K93+K90+K98</f>
        <v>3274050</v>
      </c>
      <c r="L100" s="61">
        <f t="shared" si="60"/>
        <v>0</v>
      </c>
      <c r="M100" s="61">
        <f t="shared" si="60"/>
        <v>3119274050</v>
      </c>
      <c r="N100" s="61">
        <f t="shared" si="60"/>
        <v>0</v>
      </c>
      <c r="O100" s="61">
        <f t="shared" si="60"/>
        <v>2967141354</v>
      </c>
      <c r="P100" s="61">
        <f t="shared" si="60"/>
        <v>152132696</v>
      </c>
      <c r="Q100" s="61">
        <f>+Q93+Q90+Q98</f>
        <v>2961270214</v>
      </c>
      <c r="R100" s="61">
        <f t="shared" si="60"/>
        <v>2.8891080436025258</v>
      </c>
      <c r="S100" s="61">
        <f t="shared" si="60"/>
        <v>1395652749</v>
      </c>
      <c r="T100" s="61">
        <f t="shared" si="60"/>
        <v>1395652749</v>
      </c>
      <c r="U100" s="51"/>
      <c r="V100" s="51"/>
    </row>
    <row r="101" spans="1:22" s="6" customFormat="1" ht="16.5" customHeight="1" thickBot="1" x14ac:dyDescent="0.3">
      <c r="A101" s="140" t="s">
        <v>27</v>
      </c>
      <c r="B101" s="141"/>
      <c r="C101" s="141"/>
      <c r="D101" s="141"/>
      <c r="E101" s="141"/>
      <c r="F101" s="141"/>
      <c r="G101" s="141"/>
      <c r="H101" s="141"/>
      <c r="I101" s="142"/>
      <c r="J101" s="74">
        <f>J100</f>
        <v>3116000000</v>
      </c>
      <c r="K101" s="74">
        <f t="shared" ref="K101:L101" si="61">K100</f>
        <v>3274050</v>
      </c>
      <c r="L101" s="74">
        <f t="shared" si="61"/>
        <v>0</v>
      </c>
      <c r="M101" s="74">
        <f>M100</f>
        <v>3119274050</v>
      </c>
      <c r="N101" s="74">
        <f>N100</f>
        <v>0</v>
      </c>
      <c r="O101" s="74">
        <f>O100</f>
        <v>2967141354</v>
      </c>
      <c r="P101" s="74">
        <f>P100</f>
        <v>152132696</v>
      </c>
      <c r="Q101" s="74">
        <f>Q100</f>
        <v>2961270214</v>
      </c>
      <c r="R101" s="73">
        <f>IF(Q101&gt;1,Q101/(M101-N101),0)</f>
        <v>0.94934595887783568</v>
      </c>
      <c r="S101" s="74">
        <f>S100</f>
        <v>1395652749</v>
      </c>
      <c r="T101" s="75">
        <f>T100</f>
        <v>1395652749</v>
      </c>
    </row>
    <row r="102" spans="1:22" s="45" customFormat="1" ht="16.5" customHeight="1" thickBot="1" x14ac:dyDescent="0.3">
      <c r="A102" s="134" t="s">
        <v>100</v>
      </c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6"/>
    </row>
    <row r="103" spans="1:22" s="45" customFormat="1" ht="16.5" customHeight="1" x14ac:dyDescent="0.25">
      <c r="A103" s="86" t="s">
        <v>3</v>
      </c>
      <c r="B103" s="11" t="s">
        <v>72</v>
      </c>
      <c r="C103" s="11"/>
      <c r="D103" s="11"/>
      <c r="E103" s="11"/>
      <c r="F103" s="11"/>
      <c r="G103" s="12" t="s">
        <v>84</v>
      </c>
      <c r="H103" s="11" t="s">
        <v>5</v>
      </c>
      <c r="I103" s="11" t="s">
        <v>6</v>
      </c>
      <c r="J103" s="24">
        <f>J105</f>
        <v>500000000</v>
      </c>
      <c r="K103" s="24">
        <f t="shared" ref="K103:L103" si="62">K105</f>
        <v>5720692</v>
      </c>
      <c r="L103" s="24">
        <f t="shared" si="62"/>
        <v>2478346</v>
      </c>
      <c r="M103" s="24">
        <f>M105</f>
        <v>503242346</v>
      </c>
      <c r="N103" s="24">
        <f>N105+N109</f>
        <v>0</v>
      </c>
      <c r="O103" s="24">
        <f>O105</f>
        <v>503242346</v>
      </c>
      <c r="P103" s="24">
        <f>P105</f>
        <v>0</v>
      </c>
      <c r="Q103" s="24">
        <f>Q105</f>
        <v>503242346</v>
      </c>
      <c r="R103" s="26">
        <f>IF(Q103&gt;1,Q103/(M103-N103),0)</f>
        <v>1</v>
      </c>
      <c r="S103" s="24">
        <f>S105</f>
        <v>503242346</v>
      </c>
      <c r="T103" s="33">
        <f>T105</f>
        <v>503242346</v>
      </c>
    </row>
    <row r="104" spans="1:22" s="45" customFormat="1" ht="16.5" customHeight="1" x14ac:dyDescent="0.25">
      <c r="A104" s="86" t="s">
        <v>3</v>
      </c>
      <c r="B104" s="11" t="s">
        <v>72</v>
      </c>
      <c r="C104" s="11"/>
      <c r="D104" s="11"/>
      <c r="E104" s="11"/>
      <c r="F104" s="11"/>
      <c r="G104" s="12" t="s">
        <v>84</v>
      </c>
      <c r="H104" s="11" t="s">
        <v>5</v>
      </c>
      <c r="I104" s="11">
        <v>11</v>
      </c>
      <c r="J104" s="24">
        <f>J108</f>
        <v>906000000</v>
      </c>
      <c r="K104" s="24">
        <f t="shared" ref="K104:L104" si="63">K108</f>
        <v>0</v>
      </c>
      <c r="L104" s="24">
        <f t="shared" si="63"/>
        <v>0</v>
      </c>
      <c r="M104" s="24">
        <f>M108</f>
        <v>906000000</v>
      </c>
      <c r="N104" s="24">
        <f>N108</f>
        <v>0</v>
      </c>
      <c r="O104" s="24">
        <f>O108</f>
        <v>0</v>
      </c>
      <c r="P104" s="24">
        <f>P108</f>
        <v>906000000</v>
      </c>
      <c r="Q104" s="24">
        <f>Q108</f>
        <v>0</v>
      </c>
      <c r="R104" s="26">
        <f t="shared" ref="R104:R115" si="64">IF(Q104&gt;1,Q104/(M104-N104),0)</f>
        <v>0</v>
      </c>
      <c r="S104" s="24">
        <f>S108</f>
        <v>0</v>
      </c>
      <c r="T104" s="33">
        <f>T108</f>
        <v>0</v>
      </c>
    </row>
    <row r="105" spans="1:22" s="6" customFormat="1" ht="16.5" customHeight="1" x14ac:dyDescent="0.25">
      <c r="A105" s="86" t="s">
        <v>3</v>
      </c>
      <c r="B105" s="11" t="s">
        <v>72</v>
      </c>
      <c r="C105" s="11" t="s">
        <v>34</v>
      </c>
      <c r="D105" s="11"/>
      <c r="E105" s="11"/>
      <c r="F105" s="11"/>
      <c r="G105" s="12" t="s">
        <v>82</v>
      </c>
      <c r="H105" s="11" t="s">
        <v>5</v>
      </c>
      <c r="I105" s="11" t="s">
        <v>6</v>
      </c>
      <c r="J105" s="24">
        <f>J106+J107</f>
        <v>500000000</v>
      </c>
      <c r="K105" s="24">
        <f t="shared" ref="K105" si="65">K106+K107</f>
        <v>5720692</v>
      </c>
      <c r="L105" s="24">
        <f>L106+L107</f>
        <v>2478346</v>
      </c>
      <c r="M105" s="24">
        <f>M106+M107</f>
        <v>503242346</v>
      </c>
      <c r="N105" s="24">
        <f>N106+N107</f>
        <v>0</v>
      </c>
      <c r="O105" s="24">
        <f>O106+O107</f>
        <v>503242346</v>
      </c>
      <c r="P105" s="24">
        <f>M105-O105-N105</f>
        <v>0</v>
      </c>
      <c r="Q105" s="24">
        <f>Q106+Q107</f>
        <v>503242346</v>
      </c>
      <c r="R105" s="26">
        <f>IF(Q105&gt;1,Q105/(M105-N105),0)</f>
        <v>1</v>
      </c>
      <c r="S105" s="24">
        <f>S106+S107</f>
        <v>503242346</v>
      </c>
      <c r="T105" s="33">
        <f>T106+T107</f>
        <v>503242346</v>
      </c>
    </row>
    <row r="106" spans="1:22" s="6" customFormat="1" ht="16.5" customHeight="1" x14ac:dyDescent="0.25">
      <c r="A106" s="86" t="s">
        <v>3</v>
      </c>
      <c r="B106" s="7" t="s">
        <v>72</v>
      </c>
      <c r="C106" s="7" t="s">
        <v>34</v>
      </c>
      <c r="D106" s="7" t="s">
        <v>50</v>
      </c>
      <c r="E106" s="7" t="s">
        <v>35</v>
      </c>
      <c r="F106" s="7"/>
      <c r="G106" s="23" t="s">
        <v>76</v>
      </c>
      <c r="H106" s="7" t="s">
        <v>5</v>
      </c>
      <c r="I106" s="7" t="s">
        <v>6</v>
      </c>
      <c r="J106" s="27">
        <v>490000000</v>
      </c>
      <c r="K106" s="27">
        <v>2478346</v>
      </c>
      <c r="L106" s="27"/>
      <c r="M106" s="27">
        <f t="shared" ref="M106:M107" si="66">J106+K106-L106</f>
        <v>492478346</v>
      </c>
      <c r="N106" s="9">
        <v>0</v>
      </c>
      <c r="O106" s="27">
        <v>492478346</v>
      </c>
      <c r="P106" s="27">
        <f>+M106-O106-N106</f>
        <v>0</v>
      </c>
      <c r="Q106" s="27">
        <v>492478346</v>
      </c>
      <c r="R106" s="26">
        <f>IF(Q106&gt;1,Q106/(M106-N106),0)</f>
        <v>1</v>
      </c>
      <c r="S106" s="27">
        <v>492478346</v>
      </c>
      <c r="T106" s="48">
        <v>492478346</v>
      </c>
    </row>
    <row r="107" spans="1:22" s="45" customFormat="1" ht="16.5" customHeight="1" x14ac:dyDescent="0.25">
      <c r="A107" s="86" t="s">
        <v>3</v>
      </c>
      <c r="B107" s="7" t="s">
        <v>72</v>
      </c>
      <c r="C107" s="7" t="s">
        <v>34</v>
      </c>
      <c r="D107" s="7" t="s">
        <v>50</v>
      </c>
      <c r="E107" s="7" t="s">
        <v>43</v>
      </c>
      <c r="F107" s="7"/>
      <c r="G107" s="23" t="s">
        <v>77</v>
      </c>
      <c r="H107" s="7" t="s">
        <v>5</v>
      </c>
      <c r="I107" s="7" t="s">
        <v>6</v>
      </c>
      <c r="J107" s="27">
        <v>10000000</v>
      </c>
      <c r="K107" s="27">
        <v>3242346</v>
      </c>
      <c r="L107" s="27">
        <v>2478346</v>
      </c>
      <c r="M107" s="27">
        <f t="shared" si="66"/>
        <v>10764000</v>
      </c>
      <c r="N107" s="9">
        <v>0</v>
      </c>
      <c r="O107" s="27">
        <v>10764000</v>
      </c>
      <c r="P107" s="27">
        <f>+M107-O107-N107</f>
        <v>0</v>
      </c>
      <c r="Q107" s="27">
        <v>10764000</v>
      </c>
      <c r="R107" s="26">
        <f t="shared" si="64"/>
        <v>1</v>
      </c>
      <c r="S107" s="27">
        <v>10764000</v>
      </c>
      <c r="T107" s="48">
        <v>10764000</v>
      </c>
    </row>
    <row r="108" spans="1:22" s="45" customFormat="1" ht="16.5" customHeight="1" x14ac:dyDescent="0.25">
      <c r="A108" s="86" t="s">
        <v>3</v>
      </c>
      <c r="B108" s="11" t="s">
        <v>72</v>
      </c>
      <c r="C108" s="11" t="s">
        <v>70</v>
      </c>
      <c r="D108" s="11"/>
      <c r="E108" s="11"/>
      <c r="F108" s="11"/>
      <c r="G108" s="12" t="s">
        <v>131</v>
      </c>
      <c r="H108" s="11" t="s">
        <v>5</v>
      </c>
      <c r="I108" s="11">
        <v>11</v>
      </c>
      <c r="J108" s="24">
        <f>J109</f>
        <v>906000000</v>
      </c>
      <c r="K108" s="24"/>
      <c r="L108" s="24"/>
      <c r="M108" s="24">
        <f>M109</f>
        <v>906000000</v>
      </c>
      <c r="N108" s="14">
        <f>N109</f>
        <v>0</v>
      </c>
      <c r="O108" s="24">
        <f t="shared" ref="O108:T109" si="67">O109</f>
        <v>0</v>
      </c>
      <c r="P108" s="24">
        <f>+M108-O108-N108</f>
        <v>906000000</v>
      </c>
      <c r="Q108" s="24">
        <f t="shared" si="67"/>
        <v>0</v>
      </c>
      <c r="R108" s="26">
        <f t="shared" si="64"/>
        <v>0</v>
      </c>
      <c r="S108" s="24">
        <f t="shared" si="67"/>
        <v>0</v>
      </c>
      <c r="T108" s="33">
        <f t="shared" si="67"/>
        <v>0</v>
      </c>
    </row>
    <row r="109" spans="1:22" s="6" customFormat="1" ht="16.5" customHeight="1" x14ac:dyDescent="0.25">
      <c r="A109" s="86" t="s">
        <v>3</v>
      </c>
      <c r="B109" s="11" t="s">
        <v>72</v>
      </c>
      <c r="C109" s="11" t="s">
        <v>70</v>
      </c>
      <c r="D109" s="68" t="s">
        <v>34</v>
      </c>
      <c r="E109" s="11"/>
      <c r="F109" s="11"/>
      <c r="G109" s="12" t="s">
        <v>83</v>
      </c>
      <c r="H109" s="11" t="s">
        <v>5</v>
      </c>
      <c r="I109" s="11">
        <v>11</v>
      </c>
      <c r="J109" s="24">
        <f>J110</f>
        <v>906000000</v>
      </c>
      <c r="K109" s="24">
        <f t="shared" ref="K109:L109" si="68">K110</f>
        <v>0</v>
      </c>
      <c r="L109" s="24">
        <f t="shared" si="68"/>
        <v>0</v>
      </c>
      <c r="M109" s="24">
        <f>M110</f>
        <v>906000000</v>
      </c>
      <c r="N109" s="14">
        <f>N110</f>
        <v>0</v>
      </c>
      <c r="O109" s="24">
        <f t="shared" si="67"/>
        <v>0</v>
      </c>
      <c r="P109" s="24">
        <f>+M109-O109-N109</f>
        <v>906000000</v>
      </c>
      <c r="Q109" s="24">
        <f t="shared" si="67"/>
        <v>0</v>
      </c>
      <c r="R109" s="26">
        <f t="shared" si="64"/>
        <v>0</v>
      </c>
      <c r="S109" s="24">
        <f t="shared" si="67"/>
        <v>0</v>
      </c>
      <c r="T109" s="33">
        <f t="shared" si="67"/>
        <v>0</v>
      </c>
    </row>
    <row r="110" spans="1:22" ht="18" customHeight="1" x14ac:dyDescent="0.25">
      <c r="A110" s="87" t="s">
        <v>3</v>
      </c>
      <c r="B110" s="7" t="s">
        <v>72</v>
      </c>
      <c r="C110" s="7" t="s">
        <v>70</v>
      </c>
      <c r="D110" s="7" t="s">
        <v>34</v>
      </c>
      <c r="E110" s="7"/>
      <c r="F110" s="7"/>
      <c r="G110" s="23" t="s">
        <v>83</v>
      </c>
      <c r="H110" s="7" t="s">
        <v>5</v>
      </c>
      <c r="I110" s="7">
        <v>11</v>
      </c>
      <c r="J110" s="27">
        <v>906000000</v>
      </c>
      <c r="K110" s="27">
        <v>0</v>
      </c>
      <c r="L110" s="27">
        <v>0</v>
      </c>
      <c r="M110" s="27">
        <f>J110+K110-L110</f>
        <v>906000000</v>
      </c>
      <c r="N110" s="9">
        <v>0</v>
      </c>
      <c r="O110" s="27"/>
      <c r="P110" s="27">
        <f>+M110-O110-N110</f>
        <v>906000000</v>
      </c>
      <c r="Q110" s="27"/>
      <c r="R110" s="25">
        <f t="shared" si="64"/>
        <v>0</v>
      </c>
      <c r="S110" s="27"/>
      <c r="T110" s="48"/>
    </row>
    <row r="111" spans="1:22" ht="26.25" customHeight="1" x14ac:dyDescent="0.25">
      <c r="A111" s="88" t="s">
        <v>3</v>
      </c>
      <c r="B111" s="77" t="s">
        <v>72</v>
      </c>
      <c r="C111" s="77"/>
      <c r="D111" s="77"/>
      <c r="E111" s="77"/>
      <c r="F111" s="77"/>
      <c r="G111" s="78" t="s">
        <v>99</v>
      </c>
      <c r="H111" s="77" t="s">
        <v>5</v>
      </c>
      <c r="I111" s="79" t="s">
        <v>6</v>
      </c>
      <c r="J111" s="61">
        <f>J103</f>
        <v>500000000</v>
      </c>
      <c r="K111" s="61">
        <f t="shared" ref="K111:L111" si="69">K103</f>
        <v>5720692</v>
      </c>
      <c r="L111" s="61">
        <f t="shared" si="69"/>
        <v>2478346</v>
      </c>
      <c r="M111" s="61">
        <f>M103</f>
        <v>503242346</v>
      </c>
      <c r="N111" s="61">
        <f>N105</f>
        <v>0</v>
      </c>
      <c r="O111" s="61">
        <f>O105</f>
        <v>503242346</v>
      </c>
      <c r="P111" s="61">
        <f>P105</f>
        <v>0</v>
      </c>
      <c r="Q111" s="61">
        <f>Q105</f>
        <v>503242346</v>
      </c>
      <c r="R111" s="73">
        <f t="shared" si="64"/>
        <v>1</v>
      </c>
      <c r="S111" s="61">
        <f>S105</f>
        <v>503242346</v>
      </c>
      <c r="T111" s="70">
        <f>T105</f>
        <v>503242346</v>
      </c>
    </row>
    <row r="112" spans="1:22" ht="26.25" customHeight="1" x14ac:dyDescent="0.25">
      <c r="A112" s="88" t="s">
        <v>3</v>
      </c>
      <c r="B112" s="77" t="s">
        <v>72</v>
      </c>
      <c r="C112" s="77"/>
      <c r="D112" s="77"/>
      <c r="E112" s="77"/>
      <c r="F112" s="77"/>
      <c r="G112" s="78" t="s">
        <v>99</v>
      </c>
      <c r="H112" s="77" t="s">
        <v>5</v>
      </c>
      <c r="I112" s="79">
        <v>11</v>
      </c>
      <c r="J112" s="61">
        <f>J104</f>
        <v>906000000</v>
      </c>
      <c r="K112" s="61">
        <f t="shared" ref="K112:L112" si="70">K104</f>
        <v>0</v>
      </c>
      <c r="L112" s="61">
        <f t="shared" si="70"/>
        <v>0</v>
      </c>
      <c r="M112" s="61">
        <f>M104</f>
        <v>906000000</v>
      </c>
      <c r="N112" s="61">
        <f>N109</f>
        <v>0</v>
      </c>
      <c r="O112" s="61">
        <f>O104</f>
        <v>0</v>
      </c>
      <c r="P112" s="61">
        <f>P104</f>
        <v>906000000</v>
      </c>
      <c r="Q112" s="61">
        <f>Q104</f>
        <v>0</v>
      </c>
      <c r="R112" s="73">
        <f t="shared" si="64"/>
        <v>0</v>
      </c>
      <c r="S112" s="61">
        <f>S104</f>
        <v>0</v>
      </c>
      <c r="T112" s="70">
        <f>T104</f>
        <v>0</v>
      </c>
    </row>
    <row r="113" spans="1:20" ht="16.5" customHeight="1" x14ac:dyDescent="0.25">
      <c r="A113" s="140" t="s">
        <v>103</v>
      </c>
      <c r="B113" s="141"/>
      <c r="C113" s="141"/>
      <c r="D113" s="141"/>
      <c r="E113" s="141"/>
      <c r="F113" s="141"/>
      <c r="G113" s="141"/>
      <c r="H113" s="141"/>
      <c r="I113" s="142"/>
      <c r="J113" s="74">
        <f>J111+J112</f>
        <v>1406000000</v>
      </c>
      <c r="K113" s="74">
        <f t="shared" ref="K113:L113" si="71">K111+K112</f>
        <v>5720692</v>
      </c>
      <c r="L113" s="74">
        <f t="shared" si="71"/>
        <v>2478346</v>
      </c>
      <c r="M113" s="74">
        <f>M111+M112</f>
        <v>1409242346</v>
      </c>
      <c r="N113" s="74">
        <f>N111+N112</f>
        <v>0</v>
      </c>
      <c r="O113" s="74">
        <f>O111+O112</f>
        <v>503242346</v>
      </c>
      <c r="P113" s="74">
        <f>P111+P112</f>
        <v>906000000</v>
      </c>
      <c r="Q113" s="74">
        <f>Q111+Q112</f>
        <v>503242346</v>
      </c>
      <c r="R113" s="73">
        <f>IF(Q113&gt;1,Q113/(M113-N113),0)</f>
        <v>0.35710135125332093</v>
      </c>
      <c r="S113" s="74">
        <f>S111+S112</f>
        <v>503242346</v>
      </c>
      <c r="T113" s="75">
        <f>T111+T112</f>
        <v>503242346</v>
      </c>
    </row>
    <row r="114" spans="1:20" ht="16.5" customHeight="1" x14ac:dyDescent="0.25">
      <c r="A114" s="89" t="s">
        <v>3</v>
      </c>
      <c r="B114" s="80"/>
      <c r="C114" s="80"/>
      <c r="D114" s="80"/>
      <c r="E114" s="80"/>
      <c r="F114" s="80"/>
      <c r="G114" s="81" t="s">
        <v>4</v>
      </c>
      <c r="H114" s="80" t="s">
        <v>5</v>
      </c>
      <c r="I114" s="82">
        <v>10</v>
      </c>
      <c r="J114" s="69">
        <f>+J111+J86+J33+J100</f>
        <v>407772915847</v>
      </c>
      <c r="K114" s="69">
        <f>+K111+K86+K33+K100</f>
        <v>3776853366</v>
      </c>
      <c r="L114" s="69">
        <f>+L111+L86+L33+L100</f>
        <v>3776853366</v>
      </c>
      <c r="M114" s="69">
        <f>+M111+M86+M33+M100</f>
        <v>407772915847</v>
      </c>
      <c r="N114" s="69">
        <v>0</v>
      </c>
      <c r="O114" s="69">
        <f>+O111+O86+O33+O100</f>
        <v>238174021572.10001</v>
      </c>
      <c r="P114" s="69">
        <f>+P111+P86+P33+P100</f>
        <v>169598894274.89999</v>
      </c>
      <c r="Q114" s="69">
        <f>+Q111+Q86+Q33+Q100</f>
        <v>234322893477.79999</v>
      </c>
      <c r="R114" s="71">
        <f>IF(Q114&gt;1,Q114/(M114-N114),0)</f>
        <v>0.57464065015470522</v>
      </c>
      <c r="S114" s="69">
        <f>+S111+S86+S33+S100</f>
        <v>212383594132.97</v>
      </c>
      <c r="T114" s="72">
        <f>+T111+T86+T33+T100</f>
        <v>212273386042.57001</v>
      </c>
    </row>
    <row r="115" spans="1:20" ht="16.5" customHeight="1" x14ac:dyDescent="0.25">
      <c r="A115" s="89" t="s">
        <v>3</v>
      </c>
      <c r="B115" s="80"/>
      <c r="C115" s="80"/>
      <c r="D115" s="80"/>
      <c r="E115" s="80"/>
      <c r="F115" s="80"/>
      <c r="G115" s="81" t="s">
        <v>4</v>
      </c>
      <c r="H115" s="80" t="s">
        <v>5</v>
      </c>
      <c r="I115" s="82">
        <v>11</v>
      </c>
      <c r="J115" s="69">
        <f>J112</f>
        <v>906000000</v>
      </c>
      <c r="K115" s="69">
        <f t="shared" ref="K115:L115" si="72">K112</f>
        <v>0</v>
      </c>
      <c r="L115" s="69">
        <f t="shared" si="72"/>
        <v>0</v>
      </c>
      <c r="M115" s="69">
        <f>M112</f>
        <v>906000000</v>
      </c>
      <c r="N115" s="69">
        <f>N112</f>
        <v>0</v>
      </c>
      <c r="O115" s="69">
        <f>O112</f>
        <v>0</v>
      </c>
      <c r="P115" s="69">
        <f>P112</f>
        <v>906000000</v>
      </c>
      <c r="Q115" s="69">
        <f>Q112</f>
        <v>0</v>
      </c>
      <c r="R115" s="71">
        <f t="shared" si="64"/>
        <v>0</v>
      </c>
      <c r="S115" s="69">
        <f>S112</f>
        <v>0</v>
      </c>
      <c r="T115" s="72">
        <f>T112</f>
        <v>0</v>
      </c>
    </row>
    <row r="116" spans="1:20" ht="16.5" customHeight="1" x14ac:dyDescent="0.25">
      <c r="A116" s="89" t="s">
        <v>3</v>
      </c>
      <c r="B116" s="80"/>
      <c r="C116" s="80"/>
      <c r="D116" s="80"/>
      <c r="E116" s="80"/>
      <c r="F116" s="80"/>
      <c r="G116" s="81" t="s">
        <v>4</v>
      </c>
      <c r="H116" s="80" t="s">
        <v>8</v>
      </c>
      <c r="I116" s="82">
        <v>20</v>
      </c>
      <c r="J116" s="69">
        <f>J87</f>
        <v>2873920000</v>
      </c>
      <c r="K116" s="69">
        <f>K87</f>
        <v>0</v>
      </c>
      <c r="L116" s="69">
        <f>L87</f>
        <v>0</v>
      </c>
      <c r="M116" s="69">
        <f>M87</f>
        <v>2873920000</v>
      </c>
      <c r="N116" s="115"/>
      <c r="O116" s="69">
        <f>O87</f>
        <v>0</v>
      </c>
      <c r="P116" s="69">
        <f>P87</f>
        <v>2873920000</v>
      </c>
      <c r="Q116" s="69">
        <f>Q87</f>
        <v>0</v>
      </c>
      <c r="R116" s="71">
        <f>IF(Q116&gt;1,Q116/(M116-N116),0)</f>
        <v>0</v>
      </c>
      <c r="S116" s="69">
        <f>S87</f>
        <v>0</v>
      </c>
      <c r="T116" s="72">
        <f>T87</f>
        <v>0</v>
      </c>
    </row>
    <row r="117" spans="1:20" ht="15.75" customHeight="1" thickBot="1" x14ac:dyDescent="0.3">
      <c r="A117" s="143" t="s">
        <v>28</v>
      </c>
      <c r="B117" s="144"/>
      <c r="C117" s="144"/>
      <c r="D117" s="144"/>
      <c r="E117" s="144"/>
      <c r="F117" s="144"/>
      <c r="G117" s="144"/>
      <c r="H117" s="144"/>
      <c r="I117" s="145"/>
      <c r="J117" s="41">
        <f t="shared" ref="J117:Q117" si="73">SUM(J114:J116)</f>
        <v>411552835847</v>
      </c>
      <c r="K117" s="41">
        <f t="shared" si="73"/>
        <v>3776853366</v>
      </c>
      <c r="L117" s="41">
        <f t="shared" si="73"/>
        <v>3776853366</v>
      </c>
      <c r="M117" s="41">
        <f t="shared" si="73"/>
        <v>411552835847</v>
      </c>
      <c r="N117" s="41">
        <v>0</v>
      </c>
      <c r="O117" s="41">
        <f t="shared" si="73"/>
        <v>238174021572.10001</v>
      </c>
      <c r="P117" s="41">
        <f t="shared" si="73"/>
        <v>173378814274.89999</v>
      </c>
      <c r="Q117" s="41">
        <f t="shared" si="73"/>
        <v>234322893477.79999</v>
      </c>
      <c r="R117" s="71">
        <f>IF(Q117&gt;1,Q117/(M117-N117),0)</f>
        <v>0.56936284498088718</v>
      </c>
      <c r="S117" s="41">
        <f>SUM(S114:S116)</f>
        <v>212383594132.97</v>
      </c>
      <c r="T117" s="49">
        <f>SUM(T114:T116)</f>
        <v>212273386042.57001</v>
      </c>
    </row>
    <row r="118" spans="1:20" s="6" customFormat="1" ht="18.75" customHeight="1" thickBot="1" x14ac:dyDescent="0.3">
      <c r="A118" s="134" t="s">
        <v>31</v>
      </c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6"/>
    </row>
    <row r="119" spans="1:20" s="6" customFormat="1" ht="24.75" customHeight="1" x14ac:dyDescent="0.25">
      <c r="A119" s="86" t="s">
        <v>18</v>
      </c>
      <c r="B119" s="11">
        <v>2901</v>
      </c>
      <c r="C119" s="11"/>
      <c r="D119" s="11"/>
      <c r="E119" s="11"/>
      <c r="F119" s="11"/>
      <c r="G119" s="12" t="s">
        <v>98</v>
      </c>
      <c r="H119" s="11" t="s">
        <v>5</v>
      </c>
      <c r="I119" s="13">
        <v>10</v>
      </c>
      <c r="J119" s="24">
        <f>J121+J123+J127+J129+J138+J142+J133</f>
        <v>56704864098</v>
      </c>
      <c r="K119" s="24">
        <f t="shared" ref="K119:Q119" si="74">K121+K123+K127+K129+K138+K142+K133</f>
        <v>3159178868</v>
      </c>
      <c r="L119" s="24">
        <f t="shared" si="74"/>
        <v>3159178868</v>
      </c>
      <c r="M119" s="24">
        <f>M121+M123+M127+M129+M138+M142+M133</f>
        <v>56704864098</v>
      </c>
      <c r="N119" s="14">
        <f>N121+N123+N127+N129+N138+N142+N133</f>
        <v>0</v>
      </c>
      <c r="O119" s="84">
        <f t="shared" si="74"/>
        <v>50568243644.150002</v>
      </c>
      <c r="P119" s="24">
        <f t="shared" si="74"/>
        <v>6136620453.8500004</v>
      </c>
      <c r="Q119" s="14">
        <f t="shared" si="74"/>
        <v>27049380490.150002</v>
      </c>
      <c r="R119" s="26">
        <f>IF(Q119&gt;1,Q119/(M119-N119),0)</f>
        <v>0.47702046236107709</v>
      </c>
      <c r="S119" s="14">
        <f t="shared" ref="S119:T119" si="75">S121+S123+S127+S129+S138+S142+S133</f>
        <v>1763289927.3599999</v>
      </c>
      <c r="T119" s="22">
        <f t="shared" si="75"/>
        <v>1755333827.3599999</v>
      </c>
    </row>
    <row r="120" spans="1:20" ht="33" customHeight="1" x14ac:dyDescent="0.25">
      <c r="A120" s="86" t="s">
        <v>18</v>
      </c>
      <c r="B120" s="11">
        <v>2901</v>
      </c>
      <c r="C120" s="11"/>
      <c r="D120" s="11"/>
      <c r="E120" s="11"/>
      <c r="F120" s="11"/>
      <c r="G120" s="12" t="s">
        <v>98</v>
      </c>
      <c r="H120" s="11" t="s">
        <v>8</v>
      </c>
      <c r="I120" s="13">
        <v>21</v>
      </c>
      <c r="J120" s="14">
        <f>J134</f>
        <v>315108465</v>
      </c>
      <c r="K120" s="14">
        <f t="shared" ref="K120:Q120" si="76">K134</f>
        <v>0</v>
      </c>
      <c r="L120" s="24">
        <f t="shared" si="76"/>
        <v>0</v>
      </c>
      <c r="M120" s="24">
        <f>M134</f>
        <v>315108465</v>
      </c>
      <c r="N120" s="14">
        <f>N134</f>
        <v>0</v>
      </c>
      <c r="O120" s="14">
        <f t="shared" si="76"/>
        <v>315108465</v>
      </c>
      <c r="P120" s="24">
        <f t="shared" si="76"/>
        <v>0</v>
      </c>
      <c r="Q120" s="14">
        <f t="shared" si="76"/>
        <v>315108465</v>
      </c>
      <c r="R120" s="26">
        <f t="shared" ref="R120:R167" si="77">IF(Q120&gt;1,Q120/(M120-N120),0)</f>
        <v>1</v>
      </c>
      <c r="S120" s="14">
        <f t="shared" ref="S120:T120" si="78">S134</f>
        <v>0</v>
      </c>
      <c r="T120" s="22">
        <f t="shared" si="78"/>
        <v>0</v>
      </c>
    </row>
    <row r="121" spans="1:20" ht="33" customHeight="1" x14ac:dyDescent="0.25">
      <c r="A121" s="91" t="s">
        <v>18</v>
      </c>
      <c r="B121" s="94" t="s">
        <v>88</v>
      </c>
      <c r="C121" s="94" t="s">
        <v>89</v>
      </c>
      <c r="D121" s="94" t="s">
        <v>90</v>
      </c>
      <c r="E121" s="11"/>
      <c r="F121" s="11"/>
      <c r="G121" s="12" t="s">
        <v>184</v>
      </c>
      <c r="H121" s="94" t="s">
        <v>5</v>
      </c>
      <c r="I121" s="95">
        <v>10</v>
      </c>
      <c r="J121" s="14">
        <f>J122</f>
        <v>16539224320</v>
      </c>
      <c r="K121" s="14">
        <f>K122</f>
        <v>0</v>
      </c>
      <c r="L121" s="24">
        <f t="shared" ref="L121" si="79">L122</f>
        <v>0</v>
      </c>
      <c r="M121" s="24">
        <f>M122</f>
        <v>16539224320</v>
      </c>
      <c r="N121" s="14">
        <f>N122</f>
        <v>0</v>
      </c>
      <c r="O121" s="14">
        <f>O122</f>
        <v>15344666747.33</v>
      </c>
      <c r="P121" s="24">
        <f>P122</f>
        <v>1194557572.6700001</v>
      </c>
      <c r="Q121" s="14">
        <f>Q122</f>
        <v>6218774701.3299999</v>
      </c>
      <c r="R121" s="26">
        <f t="shared" si="77"/>
        <v>0.37600159360617463</v>
      </c>
      <c r="S121" s="14">
        <f>S122</f>
        <v>366123811.07999998</v>
      </c>
      <c r="T121" s="22">
        <f>T122</f>
        <v>358167711.07999998</v>
      </c>
    </row>
    <row r="122" spans="1:20" ht="50.25" customHeight="1" x14ac:dyDescent="0.25">
      <c r="A122" s="90" t="s">
        <v>18</v>
      </c>
      <c r="B122" s="53" t="s">
        <v>88</v>
      </c>
      <c r="C122" s="53" t="s">
        <v>89</v>
      </c>
      <c r="D122" s="53" t="s">
        <v>90</v>
      </c>
      <c r="E122" s="53" t="s">
        <v>203</v>
      </c>
      <c r="F122" s="53" t="s">
        <v>142</v>
      </c>
      <c r="G122" s="23" t="s">
        <v>159</v>
      </c>
      <c r="H122" s="53" t="s">
        <v>5</v>
      </c>
      <c r="I122" s="54">
        <v>10</v>
      </c>
      <c r="J122" s="43">
        <v>16539224320</v>
      </c>
      <c r="K122" s="43">
        <v>0</v>
      </c>
      <c r="L122" s="43"/>
      <c r="M122" s="43">
        <f>J122+K122-L122</f>
        <v>16539224320</v>
      </c>
      <c r="N122" s="43">
        <v>0</v>
      </c>
      <c r="O122" s="43">
        <v>15344666747.33</v>
      </c>
      <c r="P122" s="43">
        <f t="shared" ref="P122:P143" si="80">+M122-O122-N122</f>
        <v>1194557572.6700001</v>
      </c>
      <c r="Q122" s="55">
        <v>6218774701.3299999</v>
      </c>
      <c r="R122" s="25">
        <f t="shared" si="77"/>
        <v>0.37600159360617463</v>
      </c>
      <c r="S122" s="55">
        <v>366123811.07999998</v>
      </c>
      <c r="T122" s="56">
        <v>358167711.07999998</v>
      </c>
    </row>
    <row r="123" spans="1:20" s="98" customFormat="1" ht="51.75" customHeight="1" x14ac:dyDescent="0.25">
      <c r="A123" s="91" t="s">
        <v>18</v>
      </c>
      <c r="B123" s="94" t="s">
        <v>88</v>
      </c>
      <c r="C123" s="94" t="s">
        <v>89</v>
      </c>
      <c r="D123" s="94" t="s">
        <v>7</v>
      </c>
      <c r="E123" s="94"/>
      <c r="F123" s="94"/>
      <c r="G123" s="12" t="s">
        <v>198</v>
      </c>
      <c r="H123" s="94" t="s">
        <v>5</v>
      </c>
      <c r="I123" s="95">
        <v>10</v>
      </c>
      <c r="J123" s="96">
        <f>J124+J125+J126</f>
        <v>4997000000</v>
      </c>
      <c r="K123" s="46">
        <f t="shared" ref="K123:T123" si="81">K124+K125+K126</f>
        <v>3159178868</v>
      </c>
      <c r="L123" s="46">
        <f t="shared" si="81"/>
        <v>3159178868</v>
      </c>
      <c r="M123" s="46">
        <f t="shared" si="81"/>
        <v>4997000000</v>
      </c>
      <c r="N123" s="46">
        <f t="shared" si="81"/>
        <v>0</v>
      </c>
      <c r="O123" s="46">
        <f t="shared" si="81"/>
        <v>4345476419</v>
      </c>
      <c r="P123" s="46">
        <f>P124+P125+P126</f>
        <v>651523581</v>
      </c>
      <c r="Q123" s="46">
        <f t="shared" si="81"/>
        <v>1940638443</v>
      </c>
      <c r="R123" s="26">
        <f t="shared" si="77"/>
        <v>0.38836070502301379</v>
      </c>
      <c r="S123" s="96">
        <f t="shared" si="81"/>
        <v>743900959</v>
      </c>
      <c r="T123" s="97">
        <f t="shared" si="81"/>
        <v>743900959</v>
      </c>
    </row>
    <row r="124" spans="1:20" ht="65.25" customHeight="1" x14ac:dyDescent="0.25">
      <c r="A124" s="90" t="s">
        <v>18</v>
      </c>
      <c r="B124" s="53" t="s">
        <v>88</v>
      </c>
      <c r="C124" s="53" t="s">
        <v>89</v>
      </c>
      <c r="D124" s="53" t="s">
        <v>7</v>
      </c>
      <c r="E124" s="53" t="s">
        <v>204</v>
      </c>
      <c r="F124" s="53" t="s">
        <v>143</v>
      </c>
      <c r="G124" s="23" t="s">
        <v>160</v>
      </c>
      <c r="H124" s="53" t="s">
        <v>5</v>
      </c>
      <c r="I124" s="54">
        <v>10</v>
      </c>
      <c r="J124" s="43">
        <v>2492886732</v>
      </c>
      <c r="K124" s="43">
        <v>91217000</v>
      </c>
      <c r="L124" s="43">
        <v>2456245932</v>
      </c>
      <c r="M124" s="43">
        <f t="shared" ref="M124:M146" si="82">J124+K124-L124</f>
        <v>127857800</v>
      </c>
      <c r="N124" s="43">
        <v>0</v>
      </c>
      <c r="O124" s="43">
        <v>36640800</v>
      </c>
      <c r="P124" s="43">
        <f t="shared" si="80"/>
        <v>91217000</v>
      </c>
      <c r="Q124" s="55">
        <v>36640800</v>
      </c>
      <c r="R124" s="25">
        <f t="shared" si="77"/>
        <v>0.28657461648800464</v>
      </c>
      <c r="S124" s="55">
        <v>0</v>
      </c>
      <c r="T124" s="56">
        <v>0</v>
      </c>
    </row>
    <row r="125" spans="1:20" ht="76.5" customHeight="1" x14ac:dyDescent="0.25">
      <c r="A125" s="90" t="s">
        <v>18</v>
      </c>
      <c r="B125" s="53" t="s">
        <v>88</v>
      </c>
      <c r="C125" s="53" t="s">
        <v>89</v>
      </c>
      <c r="D125" s="53" t="s">
        <v>7</v>
      </c>
      <c r="E125" s="53" t="s">
        <v>204</v>
      </c>
      <c r="F125" s="53" t="s">
        <v>144</v>
      </c>
      <c r="G125" s="23" t="s">
        <v>161</v>
      </c>
      <c r="H125" s="53" t="s">
        <v>5</v>
      </c>
      <c r="I125" s="54">
        <v>10</v>
      </c>
      <c r="J125" s="43">
        <v>2430160128</v>
      </c>
      <c r="K125" s="43"/>
      <c r="L125" s="43">
        <v>611715936</v>
      </c>
      <c r="M125" s="43">
        <f t="shared" si="82"/>
        <v>1818444192</v>
      </c>
      <c r="N125" s="43">
        <v>0</v>
      </c>
      <c r="O125" s="43">
        <v>1411743951</v>
      </c>
      <c r="P125" s="43">
        <f t="shared" ref="P125:P126" si="83">+M125-O125-N125</f>
        <v>406700241</v>
      </c>
      <c r="Q125" s="55">
        <v>1337058351</v>
      </c>
      <c r="R125" s="25">
        <f t="shared" si="77"/>
        <v>0.73527598860729848</v>
      </c>
      <c r="S125" s="55">
        <v>736220959</v>
      </c>
      <c r="T125" s="56">
        <v>736220959</v>
      </c>
    </row>
    <row r="126" spans="1:20" ht="63.75" customHeight="1" x14ac:dyDescent="0.25">
      <c r="A126" s="90" t="s">
        <v>18</v>
      </c>
      <c r="B126" s="53" t="s">
        <v>88</v>
      </c>
      <c r="C126" s="53" t="s">
        <v>89</v>
      </c>
      <c r="D126" s="53" t="s">
        <v>7</v>
      </c>
      <c r="E126" s="53" t="s">
        <v>204</v>
      </c>
      <c r="F126" s="53" t="s">
        <v>145</v>
      </c>
      <c r="G126" s="23" t="s">
        <v>162</v>
      </c>
      <c r="H126" s="53" t="s">
        <v>5</v>
      </c>
      <c r="I126" s="54">
        <v>10</v>
      </c>
      <c r="J126" s="43">
        <v>73953140</v>
      </c>
      <c r="K126" s="43">
        <v>3067961868</v>
      </c>
      <c r="L126" s="43">
        <v>91217000</v>
      </c>
      <c r="M126" s="43">
        <f t="shared" si="82"/>
        <v>3050698008</v>
      </c>
      <c r="N126" s="43">
        <v>0</v>
      </c>
      <c r="O126" s="43">
        <v>2897091668</v>
      </c>
      <c r="P126" s="43">
        <f t="shared" si="83"/>
        <v>153606340</v>
      </c>
      <c r="Q126" s="55">
        <v>566939292</v>
      </c>
      <c r="R126" s="25">
        <f t="shared" si="77"/>
        <v>0.18583920483551186</v>
      </c>
      <c r="S126" s="55">
        <v>7680000</v>
      </c>
      <c r="T126" s="56">
        <v>7680000</v>
      </c>
    </row>
    <row r="127" spans="1:20" ht="49.5" customHeight="1" x14ac:dyDescent="0.25">
      <c r="A127" s="91" t="s">
        <v>18</v>
      </c>
      <c r="B127" s="94" t="s">
        <v>88</v>
      </c>
      <c r="C127" s="94" t="s">
        <v>89</v>
      </c>
      <c r="D127" s="94" t="s">
        <v>91</v>
      </c>
      <c r="E127" s="94"/>
      <c r="F127" s="94"/>
      <c r="G127" s="12" t="s">
        <v>185</v>
      </c>
      <c r="H127" s="94" t="s">
        <v>5</v>
      </c>
      <c r="I127" s="95">
        <v>10</v>
      </c>
      <c r="J127" s="46">
        <f>J128</f>
        <v>5373953280</v>
      </c>
      <c r="K127" s="46">
        <f t="shared" ref="K127:T127" si="84">K128</f>
        <v>0</v>
      </c>
      <c r="L127" s="46">
        <f t="shared" si="84"/>
        <v>0</v>
      </c>
      <c r="M127" s="46">
        <f>M128</f>
        <v>5373953280</v>
      </c>
      <c r="N127" s="46">
        <f>N128</f>
        <v>0</v>
      </c>
      <c r="O127" s="46">
        <f t="shared" si="84"/>
        <v>5362600272</v>
      </c>
      <c r="P127" s="46">
        <f>P128</f>
        <v>11353008</v>
      </c>
      <c r="Q127" s="46">
        <f t="shared" si="84"/>
        <v>5218563432</v>
      </c>
      <c r="R127" s="26">
        <f t="shared" si="77"/>
        <v>0.97108462989838273</v>
      </c>
      <c r="S127" s="96">
        <f t="shared" si="84"/>
        <v>32127858</v>
      </c>
      <c r="T127" s="97">
        <f t="shared" si="84"/>
        <v>32127858</v>
      </c>
    </row>
    <row r="128" spans="1:20" ht="33.75" customHeight="1" x14ac:dyDescent="0.25">
      <c r="A128" s="90" t="s">
        <v>18</v>
      </c>
      <c r="B128" s="53" t="s">
        <v>88</v>
      </c>
      <c r="C128" s="53" t="s">
        <v>89</v>
      </c>
      <c r="D128" s="53" t="s">
        <v>91</v>
      </c>
      <c r="E128" s="53" t="s">
        <v>203</v>
      </c>
      <c r="F128" s="53" t="s">
        <v>141</v>
      </c>
      <c r="G128" s="23" t="s">
        <v>163</v>
      </c>
      <c r="H128" s="53" t="s">
        <v>5</v>
      </c>
      <c r="I128" s="54">
        <v>10</v>
      </c>
      <c r="J128" s="55">
        <v>5373953280</v>
      </c>
      <c r="K128" s="55">
        <v>0</v>
      </c>
      <c r="L128" s="43">
        <v>0</v>
      </c>
      <c r="M128" s="43">
        <f t="shared" si="82"/>
        <v>5373953280</v>
      </c>
      <c r="N128" s="43">
        <v>0</v>
      </c>
      <c r="O128" s="43">
        <v>5362600272</v>
      </c>
      <c r="P128" s="43">
        <f t="shared" si="80"/>
        <v>11353008</v>
      </c>
      <c r="Q128" s="55">
        <v>5218563432</v>
      </c>
      <c r="R128" s="25">
        <f t="shared" si="77"/>
        <v>0.97108462989838273</v>
      </c>
      <c r="S128" s="55">
        <v>32127858</v>
      </c>
      <c r="T128" s="56">
        <v>32127858</v>
      </c>
    </row>
    <row r="129" spans="1:20" ht="51.75" customHeight="1" x14ac:dyDescent="0.25">
      <c r="A129" s="91" t="s">
        <v>18</v>
      </c>
      <c r="B129" s="94" t="s">
        <v>88</v>
      </c>
      <c r="C129" s="94" t="s">
        <v>89</v>
      </c>
      <c r="D129" s="94" t="s">
        <v>92</v>
      </c>
      <c r="E129" s="94"/>
      <c r="F129" s="94"/>
      <c r="G129" s="12" t="s">
        <v>186</v>
      </c>
      <c r="H129" s="94" t="s">
        <v>5</v>
      </c>
      <c r="I129" s="95">
        <v>10</v>
      </c>
      <c r="J129" s="96">
        <f>J130+J131+J132</f>
        <v>4768000000</v>
      </c>
      <c r="K129" s="96">
        <f>K130+K131+K132</f>
        <v>0</v>
      </c>
      <c r="L129" s="46">
        <f>L130+L131+L132</f>
        <v>0</v>
      </c>
      <c r="M129" s="46">
        <f t="shared" ref="M129:T129" si="85">M130+M131+M132</f>
        <v>4768000000</v>
      </c>
      <c r="N129" s="46">
        <f t="shared" si="85"/>
        <v>0</v>
      </c>
      <c r="O129" s="46">
        <f t="shared" si="85"/>
        <v>4768000000</v>
      </c>
      <c r="P129" s="46">
        <f>P130+P131+P132</f>
        <v>0</v>
      </c>
      <c r="Q129" s="96">
        <f t="shared" si="85"/>
        <v>3208722979</v>
      </c>
      <c r="R129" s="26">
        <f t="shared" si="77"/>
        <v>0.67297042344798663</v>
      </c>
      <c r="S129" s="96">
        <f t="shared" si="85"/>
        <v>85364106</v>
      </c>
      <c r="T129" s="97">
        <f t="shared" si="85"/>
        <v>85364106</v>
      </c>
    </row>
    <row r="130" spans="1:20" ht="58.5" customHeight="1" x14ac:dyDescent="0.25">
      <c r="A130" s="90" t="s">
        <v>18</v>
      </c>
      <c r="B130" s="53" t="s">
        <v>88</v>
      </c>
      <c r="C130" s="53" t="s">
        <v>89</v>
      </c>
      <c r="D130" s="53" t="s">
        <v>92</v>
      </c>
      <c r="E130" s="53" t="s">
        <v>205</v>
      </c>
      <c r="F130" s="53" t="s">
        <v>146</v>
      </c>
      <c r="G130" s="23" t="s">
        <v>164</v>
      </c>
      <c r="H130" s="53" t="s">
        <v>5</v>
      </c>
      <c r="I130" s="54">
        <v>10</v>
      </c>
      <c r="J130" s="43">
        <v>3208722979</v>
      </c>
      <c r="K130" s="43"/>
      <c r="L130" s="43">
        <v>0</v>
      </c>
      <c r="M130" s="43">
        <f t="shared" si="82"/>
        <v>3208722979</v>
      </c>
      <c r="N130" s="43">
        <v>0</v>
      </c>
      <c r="O130" s="43">
        <v>3208722979</v>
      </c>
      <c r="P130" s="43">
        <f t="shared" si="80"/>
        <v>0</v>
      </c>
      <c r="Q130" s="55">
        <v>3208722979</v>
      </c>
      <c r="R130" s="25">
        <f t="shared" si="77"/>
        <v>1</v>
      </c>
      <c r="S130" s="55">
        <v>85364106</v>
      </c>
      <c r="T130" s="56">
        <v>85364106</v>
      </c>
    </row>
    <row r="131" spans="1:20" ht="57.75" customHeight="1" x14ac:dyDescent="0.25">
      <c r="A131" s="90" t="s">
        <v>18</v>
      </c>
      <c r="B131" s="53" t="s">
        <v>88</v>
      </c>
      <c r="C131" s="53" t="s">
        <v>89</v>
      </c>
      <c r="D131" s="53" t="s">
        <v>92</v>
      </c>
      <c r="E131" s="53" t="s">
        <v>205</v>
      </c>
      <c r="F131" s="53" t="s">
        <v>147</v>
      </c>
      <c r="G131" s="23" t="s">
        <v>165</v>
      </c>
      <c r="H131" s="53" t="s">
        <v>5</v>
      </c>
      <c r="I131" s="54">
        <v>10</v>
      </c>
      <c r="J131" s="43">
        <v>1323487621</v>
      </c>
      <c r="K131" s="43">
        <v>0</v>
      </c>
      <c r="L131" s="43"/>
      <c r="M131" s="43">
        <f t="shared" si="82"/>
        <v>1323487621</v>
      </c>
      <c r="N131" s="43">
        <v>0</v>
      </c>
      <c r="O131" s="43">
        <v>1323487621</v>
      </c>
      <c r="P131" s="43">
        <f t="shared" ref="P131:P132" si="86">+M131-O131-N131</f>
        <v>0</v>
      </c>
      <c r="Q131" s="55">
        <v>0</v>
      </c>
      <c r="R131" s="25">
        <f t="shared" si="77"/>
        <v>0</v>
      </c>
      <c r="S131" s="55">
        <v>0</v>
      </c>
      <c r="T131" s="56">
        <v>0</v>
      </c>
    </row>
    <row r="132" spans="1:20" ht="57" customHeight="1" x14ac:dyDescent="0.25">
      <c r="A132" s="90" t="s">
        <v>18</v>
      </c>
      <c r="B132" s="53" t="s">
        <v>88</v>
      </c>
      <c r="C132" s="53" t="s">
        <v>89</v>
      </c>
      <c r="D132" s="53" t="s">
        <v>92</v>
      </c>
      <c r="E132" s="53" t="s">
        <v>205</v>
      </c>
      <c r="F132" s="53" t="s">
        <v>148</v>
      </c>
      <c r="G132" s="23" t="s">
        <v>166</v>
      </c>
      <c r="H132" s="53" t="s">
        <v>5</v>
      </c>
      <c r="I132" s="54">
        <v>10</v>
      </c>
      <c r="J132" s="43">
        <v>235789400</v>
      </c>
      <c r="K132" s="43">
        <v>0</v>
      </c>
      <c r="L132" s="43"/>
      <c r="M132" s="43">
        <f t="shared" si="82"/>
        <v>235789400</v>
      </c>
      <c r="N132" s="43">
        <v>0</v>
      </c>
      <c r="O132" s="43">
        <v>235789400</v>
      </c>
      <c r="P132" s="43">
        <f t="shared" si="86"/>
        <v>0</v>
      </c>
      <c r="Q132" s="55">
        <v>0</v>
      </c>
      <c r="R132" s="25">
        <f t="shared" si="77"/>
        <v>0</v>
      </c>
      <c r="S132" s="55">
        <v>0</v>
      </c>
      <c r="T132" s="56">
        <v>0</v>
      </c>
    </row>
    <row r="133" spans="1:20" ht="48" customHeight="1" x14ac:dyDescent="0.25">
      <c r="A133" s="91" t="s">
        <v>18</v>
      </c>
      <c r="B133" s="94" t="s">
        <v>88</v>
      </c>
      <c r="C133" s="94" t="s">
        <v>89</v>
      </c>
      <c r="D133" s="94" t="s">
        <v>93</v>
      </c>
      <c r="E133" s="94"/>
      <c r="F133" s="94"/>
      <c r="G133" s="12" t="s">
        <v>187</v>
      </c>
      <c r="H133" s="94" t="s">
        <v>5</v>
      </c>
      <c r="I133" s="95">
        <v>10</v>
      </c>
      <c r="J133" s="46">
        <f>J135+J136</f>
        <v>9450711273</v>
      </c>
      <c r="K133" s="46">
        <f t="shared" ref="K133:Q133" si="87">K135+K136</f>
        <v>0</v>
      </c>
      <c r="L133" s="46">
        <f t="shared" si="87"/>
        <v>0</v>
      </c>
      <c r="M133" s="46">
        <f t="shared" si="87"/>
        <v>9450711273</v>
      </c>
      <c r="N133" s="46">
        <f t="shared" si="87"/>
        <v>0</v>
      </c>
      <c r="O133" s="46">
        <f t="shared" si="87"/>
        <v>7816514254.0199995</v>
      </c>
      <c r="P133" s="46">
        <f t="shared" si="87"/>
        <v>1634197018.9800005</v>
      </c>
      <c r="Q133" s="96">
        <f t="shared" si="87"/>
        <v>4186557012.0200005</v>
      </c>
      <c r="R133" s="26">
        <f>IF(Q133&gt;1,Q133/(M133-N133),0)</f>
        <v>0.44298856362067601</v>
      </c>
      <c r="S133" s="96">
        <f t="shared" ref="S133:T133" si="88">S135+S136</f>
        <v>288703206.69999999</v>
      </c>
      <c r="T133" s="97">
        <f t="shared" si="88"/>
        <v>288703206.69999999</v>
      </c>
    </row>
    <row r="134" spans="1:20" ht="46.5" customHeight="1" x14ac:dyDescent="0.25">
      <c r="A134" s="91" t="s">
        <v>18</v>
      </c>
      <c r="B134" s="94" t="s">
        <v>88</v>
      </c>
      <c r="C134" s="94" t="s">
        <v>89</v>
      </c>
      <c r="D134" s="94" t="s">
        <v>93</v>
      </c>
      <c r="E134" s="94"/>
      <c r="F134" s="94"/>
      <c r="G134" s="112" t="s">
        <v>187</v>
      </c>
      <c r="H134" s="94" t="s">
        <v>5</v>
      </c>
      <c r="I134" s="95">
        <v>21</v>
      </c>
      <c r="J134" s="96">
        <f>J137</f>
        <v>315108465</v>
      </c>
      <c r="K134" s="96">
        <f t="shared" ref="K134:Q134" si="89">K137</f>
        <v>0</v>
      </c>
      <c r="L134" s="46">
        <f t="shared" si="89"/>
        <v>0</v>
      </c>
      <c r="M134" s="46">
        <f t="shared" si="89"/>
        <v>315108465</v>
      </c>
      <c r="N134" s="46">
        <f t="shared" si="89"/>
        <v>0</v>
      </c>
      <c r="O134" s="46">
        <f t="shared" si="89"/>
        <v>315108465</v>
      </c>
      <c r="P134" s="46">
        <f t="shared" si="89"/>
        <v>0</v>
      </c>
      <c r="Q134" s="96">
        <f t="shared" si="89"/>
        <v>315108465</v>
      </c>
      <c r="R134" s="26">
        <f>IF(Q134&gt;1,Q134/(M134-N134),0)</f>
        <v>1</v>
      </c>
      <c r="S134" s="96">
        <f t="shared" ref="S134:T134" si="90">S137</f>
        <v>0</v>
      </c>
      <c r="T134" s="97">
        <f t="shared" si="90"/>
        <v>0</v>
      </c>
    </row>
    <row r="135" spans="1:20" ht="46.5" customHeight="1" x14ac:dyDescent="0.25">
      <c r="A135" s="90" t="s">
        <v>18</v>
      </c>
      <c r="B135" s="53" t="s">
        <v>88</v>
      </c>
      <c r="C135" s="53" t="s">
        <v>89</v>
      </c>
      <c r="D135" s="53" t="s">
        <v>93</v>
      </c>
      <c r="E135" s="53" t="s">
        <v>203</v>
      </c>
      <c r="F135" s="53" t="s">
        <v>149</v>
      </c>
      <c r="G135" s="23" t="s">
        <v>167</v>
      </c>
      <c r="H135" s="53" t="s">
        <v>5</v>
      </c>
      <c r="I135" s="54">
        <v>10</v>
      </c>
      <c r="J135" s="55">
        <v>4548355034</v>
      </c>
      <c r="K135" s="55">
        <v>0</v>
      </c>
      <c r="L135" s="43"/>
      <c r="M135" s="43">
        <f>J135+K135-L135</f>
        <v>4548355034</v>
      </c>
      <c r="N135" s="43">
        <v>0</v>
      </c>
      <c r="O135" s="43">
        <v>4502570779.5299997</v>
      </c>
      <c r="P135" s="43">
        <f>+M135-O135-N135</f>
        <v>45784254.470000267</v>
      </c>
      <c r="Q135" s="55">
        <v>2986658280.5300002</v>
      </c>
      <c r="R135" s="25">
        <f t="shared" si="77"/>
        <v>0.65664581111281828</v>
      </c>
      <c r="S135" s="55">
        <v>0</v>
      </c>
      <c r="T135" s="56">
        <v>0</v>
      </c>
    </row>
    <row r="136" spans="1:20" ht="41.25" customHeight="1" x14ac:dyDescent="0.25">
      <c r="A136" s="90" t="s">
        <v>18</v>
      </c>
      <c r="B136" s="53" t="s">
        <v>88</v>
      </c>
      <c r="C136" s="53" t="s">
        <v>89</v>
      </c>
      <c r="D136" s="53" t="s">
        <v>93</v>
      </c>
      <c r="E136" s="53" t="s">
        <v>203</v>
      </c>
      <c r="F136" s="53" t="s">
        <v>150</v>
      </c>
      <c r="G136" s="23" t="s">
        <v>168</v>
      </c>
      <c r="H136" s="53" t="s">
        <v>5</v>
      </c>
      <c r="I136" s="54">
        <v>10</v>
      </c>
      <c r="J136" s="43">
        <v>4902356239</v>
      </c>
      <c r="K136" s="43"/>
      <c r="L136" s="43"/>
      <c r="M136" s="43">
        <f>J136+K136-L136</f>
        <v>4902356239</v>
      </c>
      <c r="N136" s="43">
        <v>0</v>
      </c>
      <c r="O136" s="43">
        <v>3313943474.4899998</v>
      </c>
      <c r="P136" s="43">
        <f>+M136-O136-N136</f>
        <v>1588412764.5100002</v>
      </c>
      <c r="Q136" s="55">
        <v>1199898731.49</v>
      </c>
      <c r="R136" s="25">
        <f t="shared" si="77"/>
        <v>0.24475959579280995</v>
      </c>
      <c r="S136" s="55">
        <v>288703206.69999999</v>
      </c>
      <c r="T136" s="56">
        <v>288703206.69999999</v>
      </c>
    </row>
    <row r="137" spans="1:20" ht="56.25" customHeight="1" x14ac:dyDescent="0.25">
      <c r="A137" s="90" t="s">
        <v>18</v>
      </c>
      <c r="B137" s="53" t="s">
        <v>88</v>
      </c>
      <c r="C137" s="53" t="s">
        <v>89</v>
      </c>
      <c r="D137" s="53" t="s">
        <v>93</v>
      </c>
      <c r="E137" s="53" t="s">
        <v>203</v>
      </c>
      <c r="F137" s="53" t="s">
        <v>149</v>
      </c>
      <c r="G137" s="23" t="s">
        <v>167</v>
      </c>
      <c r="H137" s="53" t="s">
        <v>8</v>
      </c>
      <c r="I137" s="54">
        <v>21</v>
      </c>
      <c r="J137" s="43">
        <v>315108465</v>
      </c>
      <c r="K137" s="43">
        <v>0</v>
      </c>
      <c r="L137" s="43"/>
      <c r="M137" s="43">
        <f t="shared" si="82"/>
        <v>315108465</v>
      </c>
      <c r="N137" s="43">
        <v>0</v>
      </c>
      <c r="O137" s="43">
        <v>315108465</v>
      </c>
      <c r="P137" s="43">
        <f t="shared" ref="P137" si="91">+M137-O137-N137</f>
        <v>0</v>
      </c>
      <c r="Q137" s="55">
        <v>315108465</v>
      </c>
      <c r="R137" s="25">
        <f>IF(Q137&gt;1,Q137/(M137-N137),0)</f>
        <v>1</v>
      </c>
      <c r="S137" s="110">
        <v>0</v>
      </c>
      <c r="T137" s="56">
        <v>0</v>
      </c>
    </row>
    <row r="138" spans="1:20" s="98" customFormat="1" ht="41.25" customHeight="1" x14ac:dyDescent="0.25">
      <c r="A138" s="91" t="s">
        <v>18</v>
      </c>
      <c r="B138" s="94" t="s">
        <v>88</v>
      </c>
      <c r="C138" s="94" t="s">
        <v>89</v>
      </c>
      <c r="D138" s="94" t="s">
        <v>94</v>
      </c>
      <c r="E138" s="94"/>
      <c r="F138" s="94"/>
      <c r="G138" s="112" t="s">
        <v>199</v>
      </c>
      <c r="H138" s="94" t="s">
        <v>5</v>
      </c>
      <c r="I138" s="95">
        <v>10</v>
      </c>
      <c r="J138" s="46">
        <f>J139+J140+J141</f>
        <v>1650642489</v>
      </c>
      <c r="K138" s="46">
        <f>K139+K140+K141</f>
        <v>0</v>
      </c>
      <c r="L138" s="46">
        <f t="shared" ref="L138:T138" si="92">L139+L140+L141</f>
        <v>0</v>
      </c>
      <c r="M138" s="46">
        <f t="shared" si="92"/>
        <v>1650642489</v>
      </c>
      <c r="N138" s="46">
        <f t="shared" si="92"/>
        <v>0</v>
      </c>
      <c r="O138" s="46">
        <f t="shared" si="92"/>
        <v>1420642489</v>
      </c>
      <c r="P138" s="46">
        <f>P139+P140+P141</f>
        <v>230000000</v>
      </c>
      <c r="Q138" s="96">
        <f t="shared" si="92"/>
        <v>450000000</v>
      </c>
      <c r="R138" s="26">
        <f t="shared" si="77"/>
        <v>0.27262111753382839</v>
      </c>
      <c r="S138" s="96">
        <f t="shared" si="92"/>
        <v>0</v>
      </c>
      <c r="T138" s="97">
        <f t="shared" si="92"/>
        <v>0</v>
      </c>
    </row>
    <row r="139" spans="1:20" s="45" customFormat="1" ht="55.5" customHeight="1" x14ac:dyDescent="0.25">
      <c r="A139" s="90" t="s">
        <v>18</v>
      </c>
      <c r="B139" s="53" t="s">
        <v>88</v>
      </c>
      <c r="C139" s="53" t="s">
        <v>89</v>
      </c>
      <c r="D139" s="53" t="s">
        <v>94</v>
      </c>
      <c r="E139" s="53" t="s">
        <v>203</v>
      </c>
      <c r="F139" s="53" t="s">
        <v>151</v>
      </c>
      <c r="G139" s="23" t="s">
        <v>169</v>
      </c>
      <c r="H139" s="53" t="s">
        <v>5</v>
      </c>
      <c r="I139" s="54">
        <v>10</v>
      </c>
      <c r="J139" s="55">
        <v>530000000</v>
      </c>
      <c r="K139" s="43">
        <v>0</v>
      </c>
      <c r="L139" s="43"/>
      <c r="M139" s="43">
        <f t="shared" si="82"/>
        <v>530000000</v>
      </c>
      <c r="N139" s="108">
        <v>0</v>
      </c>
      <c r="O139" s="43">
        <v>450000000</v>
      </c>
      <c r="P139" s="43">
        <f t="shared" si="80"/>
        <v>80000000</v>
      </c>
      <c r="Q139" s="55">
        <v>450000000</v>
      </c>
      <c r="R139" s="25">
        <f t="shared" si="77"/>
        <v>0.84905660377358494</v>
      </c>
      <c r="S139" s="55">
        <v>0</v>
      </c>
      <c r="T139" s="56">
        <v>0</v>
      </c>
    </row>
    <row r="140" spans="1:20" s="45" customFormat="1" ht="48" customHeight="1" x14ac:dyDescent="0.25">
      <c r="A140" s="90" t="s">
        <v>18</v>
      </c>
      <c r="B140" s="53" t="s">
        <v>88</v>
      </c>
      <c r="C140" s="53" t="s">
        <v>89</v>
      </c>
      <c r="D140" s="53" t="s">
        <v>94</v>
      </c>
      <c r="E140" s="53" t="s">
        <v>203</v>
      </c>
      <c r="F140" s="53" t="s">
        <v>152</v>
      </c>
      <c r="G140" s="23" t="s">
        <v>170</v>
      </c>
      <c r="H140" s="53" t="s">
        <v>5</v>
      </c>
      <c r="I140" s="54">
        <v>10</v>
      </c>
      <c r="J140" s="55">
        <v>920642489</v>
      </c>
      <c r="K140" s="43"/>
      <c r="L140" s="43"/>
      <c r="M140" s="43">
        <f t="shared" si="82"/>
        <v>920642489</v>
      </c>
      <c r="N140" s="108">
        <v>0</v>
      </c>
      <c r="O140" s="43">
        <v>770642489</v>
      </c>
      <c r="P140" s="43">
        <f t="shared" ref="P140:P141" si="93">+M140-O140-N140</f>
        <v>150000000</v>
      </c>
      <c r="Q140" s="55">
        <v>0</v>
      </c>
      <c r="R140" s="25">
        <f t="shared" si="77"/>
        <v>0</v>
      </c>
      <c r="S140" s="55">
        <v>0</v>
      </c>
      <c r="T140" s="56">
        <v>0</v>
      </c>
    </row>
    <row r="141" spans="1:20" s="45" customFormat="1" ht="42.75" customHeight="1" x14ac:dyDescent="0.25">
      <c r="A141" s="90" t="s">
        <v>18</v>
      </c>
      <c r="B141" s="53" t="s">
        <v>88</v>
      </c>
      <c r="C141" s="53" t="s">
        <v>89</v>
      </c>
      <c r="D141" s="53" t="s">
        <v>94</v>
      </c>
      <c r="E141" s="53" t="s">
        <v>203</v>
      </c>
      <c r="F141" s="53" t="s">
        <v>153</v>
      </c>
      <c r="G141" s="23" t="s">
        <v>171</v>
      </c>
      <c r="H141" s="53" t="s">
        <v>5</v>
      </c>
      <c r="I141" s="54">
        <v>10</v>
      </c>
      <c r="J141" s="55">
        <v>200000000</v>
      </c>
      <c r="K141" s="43">
        <v>0</v>
      </c>
      <c r="L141" s="43"/>
      <c r="M141" s="43">
        <f t="shared" si="82"/>
        <v>200000000</v>
      </c>
      <c r="N141" s="108">
        <v>0</v>
      </c>
      <c r="O141" s="43">
        <v>200000000</v>
      </c>
      <c r="P141" s="43">
        <f t="shared" si="93"/>
        <v>0</v>
      </c>
      <c r="Q141" s="55">
        <v>0</v>
      </c>
      <c r="R141" s="25">
        <f t="shared" si="77"/>
        <v>0</v>
      </c>
      <c r="S141" s="55">
        <v>0</v>
      </c>
      <c r="T141" s="56">
        <v>0</v>
      </c>
    </row>
    <row r="142" spans="1:20" s="45" customFormat="1" ht="42.75" customHeight="1" x14ac:dyDescent="0.25">
      <c r="A142" s="91" t="s">
        <v>18</v>
      </c>
      <c r="B142" s="94" t="s">
        <v>88</v>
      </c>
      <c r="C142" s="94" t="s">
        <v>89</v>
      </c>
      <c r="D142" s="94">
        <v>16</v>
      </c>
      <c r="E142" s="94"/>
      <c r="F142" s="94"/>
      <c r="G142" s="12" t="s">
        <v>188</v>
      </c>
      <c r="H142" s="94" t="s">
        <v>5</v>
      </c>
      <c r="I142" s="95">
        <v>10</v>
      </c>
      <c r="J142" s="96">
        <f>J143+J144+J145+J146</f>
        <v>13925332736</v>
      </c>
      <c r="K142" s="46">
        <f t="shared" ref="K142:T142" si="94">K143+K144+K145+K146</f>
        <v>0</v>
      </c>
      <c r="L142" s="46">
        <f t="shared" si="94"/>
        <v>0</v>
      </c>
      <c r="M142" s="46">
        <f>M143+M144+M145+M146</f>
        <v>13925332736</v>
      </c>
      <c r="N142" s="46">
        <f t="shared" si="94"/>
        <v>0</v>
      </c>
      <c r="O142" s="46">
        <f t="shared" si="94"/>
        <v>11510343462.800001</v>
      </c>
      <c r="P142" s="46">
        <f>P143+P144+P145+P146</f>
        <v>2414989273.1999998</v>
      </c>
      <c r="Q142" s="96">
        <f t="shared" si="94"/>
        <v>5826123922.8000002</v>
      </c>
      <c r="R142" s="26">
        <f t="shared" si="77"/>
        <v>0.41838310317269534</v>
      </c>
      <c r="S142" s="96">
        <f t="shared" si="94"/>
        <v>247069986.58000001</v>
      </c>
      <c r="T142" s="97">
        <f t="shared" si="94"/>
        <v>247069986.58000001</v>
      </c>
    </row>
    <row r="143" spans="1:20" s="45" customFormat="1" ht="56.25" customHeight="1" x14ac:dyDescent="0.25">
      <c r="A143" s="90" t="s">
        <v>18</v>
      </c>
      <c r="B143" s="53" t="s">
        <v>88</v>
      </c>
      <c r="C143" s="53" t="s">
        <v>89</v>
      </c>
      <c r="D143" s="53">
        <v>16</v>
      </c>
      <c r="E143" s="53" t="s">
        <v>205</v>
      </c>
      <c r="F143" s="53" t="s">
        <v>142</v>
      </c>
      <c r="G143" s="23" t="s">
        <v>172</v>
      </c>
      <c r="H143" s="53" t="s">
        <v>5</v>
      </c>
      <c r="I143" s="54">
        <v>10</v>
      </c>
      <c r="J143" s="55">
        <v>5379741440</v>
      </c>
      <c r="K143" s="43">
        <v>0</v>
      </c>
      <c r="L143" s="43"/>
      <c r="M143" s="43">
        <f t="shared" si="82"/>
        <v>5379741440</v>
      </c>
      <c r="N143" s="43">
        <v>0</v>
      </c>
      <c r="O143" s="43">
        <v>4386448399</v>
      </c>
      <c r="P143" s="43">
        <f t="shared" si="80"/>
        <v>993293041</v>
      </c>
      <c r="Q143" s="55">
        <v>0</v>
      </c>
      <c r="R143" s="25">
        <f t="shared" si="77"/>
        <v>0</v>
      </c>
      <c r="S143" s="55">
        <v>0</v>
      </c>
      <c r="T143" s="56">
        <v>0</v>
      </c>
    </row>
    <row r="144" spans="1:20" s="45" customFormat="1" ht="48.75" customHeight="1" x14ac:dyDescent="0.25">
      <c r="A144" s="90" t="s">
        <v>18</v>
      </c>
      <c r="B144" s="53" t="s">
        <v>88</v>
      </c>
      <c r="C144" s="53" t="s">
        <v>89</v>
      </c>
      <c r="D144" s="53">
        <v>16</v>
      </c>
      <c r="E144" s="53" t="s">
        <v>205</v>
      </c>
      <c r="F144" s="53" t="s">
        <v>141</v>
      </c>
      <c r="G144" s="23" t="s">
        <v>173</v>
      </c>
      <c r="H144" s="53" t="s">
        <v>5</v>
      </c>
      <c r="I144" s="54">
        <v>10</v>
      </c>
      <c r="J144" s="55">
        <v>6102635520</v>
      </c>
      <c r="K144" s="43">
        <v>0</v>
      </c>
      <c r="L144" s="43"/>
      <c r="M144" s="43">
        <f t="shared" si="82"/>
        <v>6102635520</v>
      </c>
      <c r="N144" s="108">
        <v>0</v>
      </c>
      <c r="O144" s="43">
        <v>5279199090.2200003</v>
      </c>
      <c r="P144" s="43">
        <f t="shared" ref="P144:P145" si="95">+M144-O144-N144</f>
        <v>823436429.77999973</v>
      </c>
      <c r="Q144" s="55">
        <v>4608066331.2200003</v>
      </c>
      <c r="R144" s="25">
        <f t="shared" si="77"/>
        <v>0.75509446961367932</v>
      </c>
      <c r="S144" s="55">
        <v>0</v>
      </c>
      <c r="T144" s="56">
        <v>0</v>
      </c>
    </row>
    <row r="145" spans="1:20" s="45" customFormat="1" ht="54" customHeight="1" x14ac:dyDescent="0.25">
      <c r="A145" s="90" t="s">
        <v>18</v>
      </c>
      <c r="B145" s="53" t="s">
        <v>88</v>
      </c>
      <c r="C145" s="53" t="s">
        <v>89</v>
      </c>
      <c r="D145" s="53">
        <v>16</v>
      </c>
      <c r="E145" s="53" t="s">
        <v>205</v>
      </c>
      <c r="F145" s="53" t="s">
        <v>147</v>
      </c>
      <c r="G145" s="23" t="s">
        <v>174</v>
      </c>
      <c r="H145" s="53" t="s">
        <v>5</v>
      </c>
      <c r="I145" s="54">
        <v>10</v>
      </c>
      <c r="J145" s="55">
        <v>2374790656</v>
      </c>
      <c r="K145" s="43">
        <v>0</v>
      </c>
      <c r="L145" s="43"/>
      <c r="M145" s="43">
        <f t="shared" si="82"/>
        <v>2374790656</v>
      </c>
      <c r="N145" s="43">
        <v>0</v>
      </c>
      <c r="O145" s="43">
        <v>1776530853.5799999</v>
      </c>
      <c r="P145" s="43">
        <f t="shared" si="95"/>
        <v>598259802.42000008</v>
      </c>
      <c r="Q145" s="55">
        <v>1218057591.5799999</v>
      </c>
      <c r="R145" s="25">
        <f t="shared" si="77"/>
        <v>0.51291156485837208</v>
      </c>
      <c r="S145" s="55">
        <v>247069986.58000001</v>
      </c>
      <c r="T145" s="56">
        <v>247069986.58000001</v>
      </c>
    </row>
    <row r="146" spans="1:20" s="45" customFormat="1" ht="56.25" customHeight="1" x14ac:dyDescent="0.25">
      <c r="A146" s="90" t="s">
        <v>18</v>
      </c>
      <c r="B146" s="53" t="s">
        <v>88</v>
      </c>
      <c r="C146" s="53" t="s">
        <v>89</v>
      </c>
      <c r="D146" s="53">
        <v>16</v>
      </c>
      <c r="E146" s="53" t="s">
        <v>205</v>
      </c>
      <c r="F146" s="53" t="s">
        <v>145</v>
      </c>
      <c r="G146" s="23" t="s">
        <v>175</v>
      </c>
      <c r="H146" s="53" t="s">
        <v>5</v>
      </c>
      <c r="I146" s="54">
        <v>10</v>
      </c>
      <c r="J146" s="55">
        <v>68165120</v>
      </c>
      <c r="K146" s="43">
        <v>0</v>
      </c>
      <c r="L146" s="43"/>
      <c r="M146" s="43">
        <f t="shared" si="82"/>
        <v>68165120</v>
      </c>
      <c r="N146" s="108">
        <v>0</v>
      </c>
      <c r="O146" s="43">
        <v>68165120</v>
      </c>
      <c r="P146" s="109">
        <f>+M146-O146-N146</f>
        <v>0</v>
      </c>
      <c r="Q146" s="55">
        <v>0</v>
      </c>
      <c r="R146" s="25">
        <f t="shared" si="77"/>
        <v>0</v>
      </c>
      <c r="S146" s="55">
        <v>0</v>
      </c>
      <c r="T146" s="56">
        <v>0</v>
      </c>
    </row>
    <row r="147" spans="1:20" ht="31.5" customHeight="1" x14ac:dyDescent="0.25">
      <c r="A147" s="91" t="s">
        <v>18</v>
      </c>
      <c r="B147" s="11">
        <v>2999</v>
      </c>
      <c r="C147" s="11"/>
      <c r="D147" s="11"/>
      <c r="E147" s="11"/>
      <c r="F147" s="11"/>
      <c r="G147" s="12" t="s">
        <v>211</v>
      </c>
      <c r="H147" s="11" t="s">
        <v>5</v>
      </c>
      <c r="I147" s="13">
        <v>10</v>
      </c>
      <c r="J147" s="14">
        <f>J148</f>
        <v>79850728985</v>
      </c>
      <c r="K147" s="14">
        <f t="shared" ref="K147:Q147" si="96">K148</f>
        <v>0</v>
      </c>
      <c r="L147" s="24">
        <f t="shared" si="96"/>
        <v>0</v>
      </c>
      <c r="M147" s="46">
        <f t="shared" si="96"/>
        <v>79850728985</v>
      </c>
      <c r="N147" s="24">
        <f t="shared" si="96"/>
        <v>0</v>
      </c>
      <c r="O147" s="24">
        <f t="shared" si="96"/>
        <v>55552221675.440002</v>
      </c>
      <c r="P147" s="24">
        <f t="shared" si="96"/>
        <v>24298507309.559998</v>
      </c>
      <c r="Q147" s="14">
        <f t="shared" si="96"/>
        <v>37669114998.440002</v>
      </c>
      <c r="R147" s="26">
        <f t="shared" si="77"/>
        <v>0.47174415909861217</v>
      </c>
      <c r="S147" s="14">
        <f t="shared" ref="S147:T147" si="97">S148</f>
        <v>15243158661.32</v>
      </c>
      <c r="T147" s="22">
        <f t="shared" si="97"/>
        <v>14442180595.41</v>
      </c>
    </row>
    <row r="148" spans="1:20" ht="31.5" customHeight="1" x14ac:dyDescent="0.25">
      <c r="A148" s="91" t="s">
        <v>18</v>
      </c>
      <c r="B148" s="11" t="s">
        <v>95</v>
      </c>
      <c r="C148" s="11" t="s">
        <v>89</v>
      </c>
      <c r="D148" s="11"/>
      <c r="E148" s="11"/>
      <c r="F148" s="11"/>
      <c r="G148" s="12" t="s">
        <v>194</v>
      </c>
      <c r="H148" s="11" t="s">
        <v>5</v>
      </c>
      <c r="I148" s="13">
        <v>10</v>
      </c>
      <c r="J148" s="14">
        <f>J149+J151+J154+J157+J160+J163+J166</f>
        <v>79850728985</v>
      </c>
      <c r="K148" s="14">
        <f t="shared" ref="K148:Q148" si="98">K149+K151+K154+K157+K160+K163+K166</f>
        <v>0</v>
      </c>
      <c r="L148" s="24">
        <f t="shared" si="98"/>
        <v>0</v>
      </c>
      <c r="M148" s="46">
        <f t="shared" si="98"/>
        <v>79850728985</v>
      </c>
      <c r="N148" s="24">
        <f t="shared" si="98"/>
        <v>0</v>
      </c>
      <c r="O148" s="24">
        <f t="shared" si="98"/>
        <v>55552221675.440002</v>
      </c>
      <c r="P148" s="24">
        <f t="shared" si="98"/>
        <v>24298507309.559998</v>
      </c>
      <c r="Q148" s="14">
        <f t="shared" si="98"/>
        <v>37669114998.440002</v>
      </c>
      <c r="R148" s="26">
        <f t="shared" si="77"/>
        <v>0.47174415909861217</v>
      </c>
      <c r="S148" s="14">
        <f t="shared" ref="S148:T148" si="99">S149+S151+S154+S157+S160+S163+S166</f>
        <v>15243158661.32</v>
      </c>
      <c r="T148" s="22">
        <f t="shared" si="99"/>
        <v>14442180595.41</v>
      </c>
    </row>
    <row r="149" spans="1:20" ht="31.5" customHeight="1" x14ac:dyDescent="0.25">
      <c r="A149" s="91" t="s">
        <v>18</v>
      </c>
      <c r="B149" s="11" t="s">
        <v>95</v>
      </c>
      <c r="C149" s="94" t="s">
        <v>89</v>
      </c>
      <c r="D149" s="94" t="s">
        <v>92</v>
      </c>
      <c r="E149" s="11"/>
      <c r="F149" s="11"/>
      <c r="G149" s="12" t="s">
        <v>189</v>
      </c>
      <c r="H149" s="94" t="s">
        <v>5</v>
      </c>
      <c r="I149" s="95">
        <v>10</v>
      </c>
      <c r="J149" s="14">
        <f>J150</f>
        <v>500000000</v>
      </c>
      <c r="K149" s="24">
        <f t="shared" ref="K149:T149" si="100">K150</f>
        <v>0</v>
      </c>
      <c r="L149" s="24">
        <f t="shared" si="100"/>
        <v>0</v>
      </c>
      <c r="M149" s="46">
        <f t="shared" si="100"/>
        <v>500000000</v>
      </c>
      <c r="N149" s="24">
        <f t="shared" si="100"/>
        <v>0</v>
      </c>
      <c r="O149" s="24">
        <f>O150</f>
        <v>0</v>
      </c>
      <c r="P149" s="24">
        <f>P150</f>
        <v>500000000</v>
      </c>
      <c r="Q149" s="14">
        <f t="shared" si="100"/>
        <v>0</v>
      </c>
      <c r="R149" s="26">
        <f t="shared" si="77"/>
        <v>0</v>
      </c>
      <c r="S149" s="14">
        <f t="shared" si="100"/>
        <v>0</v>
      </c>
      <c r="T149" s="22">
        <f t="shared" si="100"/>
        <v>0</v>
      </c>
    </row>
    <row r="150" spans="1:20" ht="42.75" customHeight="1" x14ac:dyDescent="0.25">
      <c r="A150" s="90" t="s">
        <v>18</v>
      </c>
      <c r="B150" s="7" t="s">
        <v>95</v>
      </c>
      <c r="C150" s="53" t="s">
        <v>89</v>
      </c>
      <c r="D150" s="53" t="s">
        <v>92</v>
      </c>
      <c r="E150" s="53" t="s">
        <v>206</v>
      </c>
      <c r="F150" s="53" t="s">
        <v>156</v>
      </c>
      <c r="G150" s="23" t="s">
        <v>176</v>
      </c>
      <c r="H150" s="53" t="s">
        <v>5</v>
      </c>
      <c r="I150" s="54">
        <v>10</v>
      </c>
      <c r="J150" s="43">
        <v>500000000</v>
      </c>
      <c r="K150" s="43">
        <v>0</v>
      </c>
      <c r="L150" s="43">
        <v>0</v>
      </c>
      <c r="M150" s="43">
        <f t="shared" ref="M150:M167" si="101">J150+K150-L150</f>
        <v>500000000</v>
      </c>
      <c r="N150" s="43">
        <v>0</v>
      </c>
      <c r="O150" s="43">
        <v>0</v>
      </c>
      <c r="P150" s="27">
        <f t="shared" ref="P150:P159" si="102">+M150-O150-N150</f>
        <v>500000000</v>
      </c>
      <c r="Q150" s="55">
        <v>0</v>
      </c>
      <c r="R150" s="25">
        <f t="shared" si="77"/>
        <v>0</v>
      </c>
      <c r="S150" s="55">
        <v>0</v>
      </c>
      <c r="T150" s="56">
        <v>0</v>
      </c>
    </row>
    <row r="151" spans="1:20" ht="48" customHeight="1" x14ac:dyDescent="0.25">
      <c r="A151" s="91" t="s">
        <v>18</v>
      </c>
      <c r="B151" s="94" t="s">
        <v>95</v>
      </c>
      <c r="C151" s="94" t="s">
        <v>89</v>
      </c>
      <c r="D151" s="94" t="s">
        <v>93</v>
      </c>
      <c r="E151" s="94"/>
      <c r="F151" s="94"/>
      <c r="G151" s="12" t="s">
        <v>190</v>
      </c>
      <c r="H151" s="94" t="s">
        <v>5</v>
      </c>
      <c r="I151" s="95">
        <v>10</v>
      </c>
      <c r="J151" s="46">
        <f>J152+J153</f>
        <v>28926585682</v>
      </c>
      <c r="K151" s="46">
        <f t="shared" ref="K151:T151" si="103">K152+K153</f>
        <v>0</v>
      </c>
      <c r="L151" s="46">
        <f t="shared" si="103"/>
        <v>0</v>
      </c>
      <c r="M151" s="46">
        <f t="shared" si="103"/>
        <v>28926585682</v>
      </c>
      <c r="N151" s="46">
        <f t="shared" si="103"/>
        <v>0</v>
      </c>
      <c r="O151" s="46">
        <f>O152+O153</f>
        <v>19765012780</v>
      </c>
      <c r="P151" s="24">
        <f>P152+P153</f>
        <v>9161572902</v>
      </c>
      <c r="Q151" s="96">
        <f>Q152+Q153</f>
        <v>19725012780</v>
      </c>
      <c r="R151" s="26">
        <f t="shared" si="77"/>
        <v>0.68189910129193654</v>
      </c>
      <c r="S151" s="96">
        <f t="shared" si="103"/>
        <v>3225017746</v>
      </c>
      <c r="T151" s="97">
        <f t="shared" si="103"/>
        <v>2552544246</v>
      </c>
    </row>
    <row r="152" spans="1:20" ht="54.75" customHeight="1" x14ac:dyDescent="0.25">
      <c r="A152" s="90" t="s">
        <v>18</v>
      </c>
      <c r="B152" s="53" t="s">
        <v>95</v>
      </c>
      <c r="C152" s="53" t="s">
        <v>89</v>
      </c>
      <c r="D152" s="53" t="s">
        <v>93</v>
      </c>
      <c r="E152" s="53" t="s">
        <v>206</v>
      </c>
      <c r="F152" s="53" t="s">
        <v>154</v>
      </c>
      <c r="G152" s="23" t="s">
        <v>177</v>
      </c>
      <c r="H152" s="53" t="s">
        <v>5</v>
      </c>
      <c r="I152" s="54">
        <v>10</v>
      </c>
      <c r="J152" s="55">
        <v>3237138468</v>
      </c>
      <c r="K152" s="43">
        <v>0</v>
      </c>
      <c r="L152" s="43">
        <v>0</v>
      </c>
      <c r="M152" s="43">
        <f t="shared" si="101"/>
        <v>3237138468</v>
      </c>
      <c r="N152" s="43">
        <v>0</v>
      </c>
      <c r="O152" s="43">
        <v>137679570</v>
      </c>
      <c r="P152" s="27">
        <f t="shared" si="102"/>
        <v>3099458898</v>
      </c>
      <c r="Q152" s="55">
        <v>97679570</v>
      </c>
      <c r="R152" s="25">
        <f t="shared" si="77"/>
        <v>3.017466536127178E-2</v>
      </c>
      <c r="S152" s="55">
        <v>49907296</v>
      </c>
      <c r="T152" s="56">
        <v>49907296</v>
      </c>
    </row>
    <row r="153" spans="1:20" ht="47.25" customHeight="1" x14ac:dyDescent="0.25">
      <c r="A153" s="90" t="s">
        <v>18</v>
      </c>
      <c r="B153" s="53" t="s">
        <v>95</v>
      </c>
      <c r="C153" s="53" t="s">
        <v>89</v>
      </c>
      <c r="D153" s="53" t="s">
        <v>93</v>
      </c>
      <c r="E153" s="53" t="s">
        <v>206</v>
      </c>
      <c r="F153" s="53" t="s">
        <v>155</v>
      </c>
      <c r="G153" s="23" t="s">
        <v>178</v>
      </c>
      <c r="H153" s="53" t="s">
        <v>5</v>
      </c>
      <c r="I153" s="54">
        <v>10</v>
      </c>
      <c r="J153" s="55">
        <v>25689447214</v>
      </c>
      <c r="K153" s="43">
        <v>0</v>
      </c>
      <c r="L153" s="43">
        <v>0</v>
      </c>
      <c r="M153" s="43">
        <f t="shared" si="101"/>
        <v>25689447214</v>
      </c>
      <c r="N153" s="43">
        <v>0</v>
      </c>
      <c r="O153" s="43">
        <v>19627333210</v>
      </c>
      <c r="P153" s="27">
        <f t="shared" ref="P153" si="104">+M153-O153-N153</f>
        <v>6062114004</v>
      </c>
      <c r="Q153" s="55">
        <v>19627333210</v>
      </c>
      <c r="R153" s="25">
        <f t="shared" si="77"/>
        <v>0.76402318222338683</v>
      </c>
      <c r="S153" s="56">
        <v>3175110450</v>
      </c>
      <c r="T153" s="56">
        <v>2502636950</v>
      </c>
    </row>
    <row r="154" spans="1:20" ht="47.25" customHeight="1" x14ac:dyDescent="0.25">
      <c r="A154" s="91" t="s">
        <v>18</v>
      </c>
      <c r="B154" s="94" t="s">
        <v>95</v>
      </c>
      <c r="C154" s="94" t="s">
        <v>89</v>
      </c>
      <c r="D154" s="94" t="s">
        <v>94</v>
      </c>
      <c r="E154" s="94"/>
      <c r="F154" s="94"/>
      <c r="G154" s="12" t="s">
        <v>191</v>
      </c>
      <c r="H154" s="94" t="s">
        <v>5</v>
      </c>
      <c r="I154" s="95">
        <v>10</v>
      </c>
      <c r="J154" s="96">
        <f>J155+J156</f>
        <v>6971059200</v>
      </c>
      <c r="K154" s="46">
        <f t="shared" ref="K154:T154" si="105">K155+K156</f>
        <v>0</v>
      </c>
      <c r="L154" s="46">
        <f t="shared" si="105"/>
        <v>0</v>
      </c>
      <c r="M154" s="46">
        <f t="shared" si="105"/>
        <v>6971059200</v>
      </c>
      <c r="N154" s="46">
        <f t="shared" si="105"/>
        <v>0</v>
      </c>
      <c r="O154" s="46">
        <f>O155+O156</f>
        <v>6291735246</v>
      </c>
      <c r="P154" s="24">
        <f>P155+P156</f>
        <v>679323954</v>
      </c>
      <c r="Q154" s="96">
        <f t="shared" si="105"/>
        <v>4972179044</v>
      </c>
      <c r="R154" s="26">
        <f t="shared" si="77"/>
        <v>0.71326019495000126</v>
      </c>
      <c r="S154" s="96">
        <f t="shared" si="105"/>
        <v>1402198689</v>
      </c>
      <c r="T154" s="97">
        <f t="shared" si="105"/>
        <v>1284889035</v>
      </c>
    </row>
    <row r="155" spans="1:20" ht="41.25" customHeight="1" x14ac:dyDescent="0.25">
      <c r="A155" s="90" t="s">
        <v>18</v>
      </c>
      <c r="B155" s="53" t="s">
        <v>95</v>
      </c>
      <c r="C155" s="53" t="s">
        <v>89</v>
      </c>
      <c r="D155" s="53" t="s">
        <v>94</v>
      </c>
      <c r="E155" s="53" t="s">
        <v>206</v>
      </c>
      <c r="F155" s="53" t="s">
        <v>157</v>
      </c>
      <c r="G155" s="23" t="s">
        <v>179</v>
      </c>
      <c r="H155" s="53" t="s">
        <v>5</v>
      </c>
      <c r="I155" s="54">
        <v>10</v>
      </c>
      <c r="J155" s="55">
        <v>1313633024</v>
      </c>
      <c r="K155" s="43">
        <v>0</v>
      </c>
      <c r="L155" s="43">
        <v>0</v>
      </c>
      <c r="M155" s="43">
        <f t="shared" si="101"/>
        <v>1313633024</v>
      </c>
      <c r="N155" s="43">
        <v>0</v>
      </c>
      <c r="O155" s="43">
        <v>1066245620</v>
      </c>
      <c r="P155" s="27">
        <f t="shared" si="102"/>
        <v>247387404</v>
      </c>
      <c r="Q155" s="55">
        <v>358375352</v>
      </c>
      <c r="R155" s="25">
        <f t="shared" si="77"/>
        <v>0.27281238021007609</v>
      </c>
      <c r="S155" s="55">
        <v>0</v>
      </c>
      <c r="T155" s="56">
        <v>0</v>
      </c>
    </row>
    <row r="156" spans="1:20" ht="47.25" customHeight="1" x14ac:dyDescent="0.25">
      <c r="A156" s="90" t="s">
        <v>18</v>
      </c>
      <c r="B156" s="53" t="s">
        <v>95</v>
      </c>
      <c r="C156" s="53" t="s">
        <v>89</v>
      </c>
      <c r="D156" s="53" t="s">
        <v>94</v>
      </c>
      <c r="E156" s="53" t="s">
        <v>206</v>
      </c>
      <c r="F156" s="53" t="s">
        <v>155</v>
      </c>
      <c r="G156" s="23" t="s">
        <v>180</v>
      </c>
      <c r="H156" s="53" t="s">
        <v>5</v>
      </c>
      <c r="I156" s="54">
        <v>10</v>
      </c>
      <c r="J156" s="55">
        <v>5657426176</v>
      </c>
      <c r="K156" s="43">
        <v>0</v>
      </c>
      <c r="L156" s="43">
        <v>0</v>
      </c>
      <c r="M156" s="43">
        <f t="shared" si="101"/>
        <v>5657426176</v>
      </c>
      <c r="N156" s="43">
        <v>0</v>
      </c>
      <c r="O156" s="43">
        <v>5225489626</v>
      </c>
      <c r="P156" s="27">
        <f t="shared" ref="P156" si="106">+M156-O156-N156</f>
        <v>431936550</v>
      </c>
      <c r="Q156" s="55">
        <v>4613803692</v>
      </c>
      <c r="R156" s="25">
        <f t="shared" si="77"/>
        <v>0.81553051661066867</v>
      </c>
      <c r="S156" s="55">
        <v>1402198689</v>
      </c>
      <c r="T156" s="56">
        <v>1284889035</v>
      </c>
    </row>
    <row r="157" spans="1:20" s="98" customFormat="1" ht="32.25" customHeight="1" x14ac:dyDescent="0.25">
      <c r="A157" s="91" t="s">
        <v>18</v>
      </c>
      <c r="B157" s="94" t="s">
        <v>95</v>
      </c>
      <c r="C157" s="94" t="s">
        <v>89</v>
      </c>
      <c r="D157" s="94" t="s">
        <v>96</v>
      </c>
      <c r="E157" s="94"/>
      <c r="F157" s="94"/>
      <c r="G157" s="12" t="s">
        <v>192</v>
      </c>
      <c r="H157" s="94" t="s">
        <v>5</v>
      </c>
      <c r="I157" s="95">
        <v>10</v>
      </c>
      <c r="J157" s="96">
        <f>J159+J158</f>
        <v>1600000000</v>
      </c>
      <c r="K157" s="46">
        <f t="shared" ref="K157:N157" si="107">K159+K158</f>
        <v>0</v>
      </c>
      <c r="L157" s="46">
        <f t="shared" si="107"/>
        <v>0</v>
      </c>
      <c r="M157" s="46">
        <f t="shared" si="107"/>
        <v>1600000000</v>
      </c>
      <c r="N157" s="46">
        <f t="shared" si="107"/>
        <v>0</v>
      </c>
      <c r="O157" s="46">
        <f>O159+O158</f>
        <v>1577377285</v>
      </c>
      <c r="P157" s="24">
        <f t="shared" ref="P157" si="108">P159+P158</f>
        <v>22622715</v>
      </c>
      <c r="Q157" s="96">
        <f>Q159+Q158</f>
        <v>1577377285</v>
      </c>
      <c r="R157" s="26">
        <f t="shared" si="77"/>
        <v>0.98586080312500002</v>
      </c>
      <c r="S157" s="96">
        <f t="shared" ref="S157:T157" si="109">S159+S158</f>
        <v>34218397.509999998</v>
      </c>
      <c r="T157" s="97">
        <f t="shared" si="109"/>
        <v>23023485.600000001</v>
      </c>
    </row>
    <row r="158" spans="1:20" s="98" customFormat="1" ht="42.75" customHeight="1" x14ac:dyDescent="0.25">
      <c r="A158" s="90" t="s">
        <v>18</v>
      </c>
      <c r="B158" s="53" t="s">
        <v>95</v>
      </c>
      <c r="C158" s="53" t="s">
        <v>89</v>
      </c>
      <c r="D158" s="53" t="s">
        <v>96</v>
      </c>
      <c r="E158" s="53" t="s">
        <v>206</v>
      </c>
      <c r="F158" s="53">
        <v>2999011</v>
      </c>
      <c r="G158" s="23" t="s">
        <v>214</v>
      </c>
      <c r="H158" s="53" t="s">
        <v>5</v>
      </c>
      <c r="I158" s="54">
        <v>10</v>
      </c>
      <c r="J158" s="55">
        <v>149904000</v>
      </c>
      <c r="K158" s="43">
        <v>0</v>
      </c>
      <c r="L158" s="43">
        <v>0</v>
      </c>
      <c r="M158" s="43">
        <f t="shared" ref="M158" si="110">J158+K158-L158</f>
        <v>149904000</v>
      </c>
      <c r="N158" s="43"/>
      <c r="O158" s="43">
        <v>137904976</v>
      </c>
      <c r="P158" s="27">
        <f t="shared" ref="P158" si="111">+M158-O158-N158</f>
        <v>11999024</v>
      </c>
      <c r="Q158" s="55">
        <v>137904976</v>
      </c>
      <c r="R158" s="25">
        <f t="shared" ref="R158" si="112">IF(Q158&gt;1,Q158/(M158-N158),0)</f>
        <v>0.91995527804461519</v>
      </c>
      <c r="S158" s="55"/>
      <c r="T158" s="56"/>
    </row>
    <row r="159" spans="1:20" ht="46.5" customHeight="1" x14ac:dyDescent="0.25">
      <c r="A159" s="90" t="s">
        <v>18</v>
      </c>
      <c r="B159" s="53" t="s">
        <v>95</v>
      </c>
      <c r="C159" s="53" t="s">
        <v>89</v>
      </c>
      <c r="D159" s="53" t="s">
        <v>96</v>
      </c>
      <c r="E159" s="53" t="s">
        <v>206</v>
      </c>
      <c r="F159" s="53" t="s">
        <v>157</v>
      </c>
      <c r="G159" s="23" t="s">
        <v>181</v>
      </c>
      <c r="H159" s="53" t="s">
        <v>5</v>
      </c>
      <c r="I159" s="54">
        <v>10</v>
      </c>
      <c r="J159" s="55">
        <v>1450096000</v>
      </c>
      <c r="K159" s="43">
        <v>0</v>
      </c>
      <c r="L159" s="43">
        <v>0</v>
      </c>
      <c r="M159" s="43">
        <f t="shared" si="101"/>
        <v>1450096000</v>
      </c>
      <c r="N159" s="108"/>
      <c r="O159" s="43">
        <v>1439472309</v>
      </c>
      <c r="P159" s="27">
        <f t="shared" si="102"/>
        <v>10623691</v>
      </c>
      <c r="Q159" s="55">
        <v>1439472309</v>
      </c>
      <c r="R159" s="25">
        <f t="shared" si="77"/>
        <v>0.99267380159658392</v>
      </c>
      <c r="S159" s="55">
        <v>34218397.509999998</v>
      </c>
      <c r="T159" s="56">
        <v>23023485.600000001</v>
      </c>
    </row>
    <row r="160" spans="1:20" ht="42" customHeight="1" x14ac:dyDescent="0.25">
      <c r="A160" s="91" t="s">
        <v>18</v>
      </c>
      <c r="B160" s="94" t="s">
        <v>95</v>
      </c>
      <c r="C160" s="11" t="s">
        <v>89</v>
      </c>
      <c r="D160" s="11" t="s">
        <v>97</v>
      </c>
      <c r="E160" s="11"/>
      <c r="F160" s="11"/>
      <c r="G160" s="12" t="s">
        <v>193</v>
      </c>
      <c r="H160" s="11" t="s">
        <v>5</v>
      </c>
      <c r="I160" s="13">
        <v>10</v>
      </c>
      <c r="J160" s="14">
        <f>J161+J162</f>
        <v>770705920</v>
      </c>
      <c r="K160" s="24">
        <f>K161+K162</f>
        <v>0</v>
      </c>
      <c r="L160" s="111">
        <f>L161+L162</f>
        <v>0</v>
      </c>
      <c r="M160" s="46">
        <f>M161+M162</f>
        <v>770705920</v>
      </c>
      <c r="N160" s="24">
        <f>N161+N162</f>
        <v>0</v>
      </c>
      <c r="O160" s="24">
        <f t="shared" ref="O160:T160" si="113">O161+O162</f>
        <v>618353676</v>
      </c>
      <c r="P160" s="24">
        <f>P161+P162</f>
        <v>152352244</v>
      </c>
      <c r="Q160" s="14">
        <f t="shared" si="113"/>
        <v>291642877</v>
      </c>
      <c r="R160" s="26">
        <f t="shared" si="77"/>
        <v>0.37841006463269417</v>
      </c>
      <c r="S160" s="14">
        <f>S161+S162</f>
        <v>29394313</v>
      </c>
      <c r="T160" s="22">
        <f t="shared" si="113"/>
        <v>29394313</v>
      </c>
    </row>
    <row r="161" spans="1:20" ht="45.75" customHeight="1" x14ac:dyDescent="0.25">
      <c r="A161" s="90" t="s">
        <v>18</v>
      </c>
      <c r="B161" s="53" t="s">
        <v>95</v>
      </c>
      <c r="C161" s="7" t="s">
        <v>89</v>
      </c>
      <c r="D161" s="7" t="s">
        <v>97</v>
      </c>
      <c r="E161" s="7" t="s">
        <v>206</v>
      </c>
      <c r="F161" s="7" t="s">
        <v>158</v>
      </c>
      <c r="G161" s="23" t="s">
        <v>182</v>
      </c>
      <c r="H161" s="7" t="s">
        <v>5</v>
      </c>
      <c r="I161" s="8">
        <v>10</v>
      </c>
      <c r="J161" s="9">
        <v>307558131</v>
      </c>
      <c r="K161" s="27"/>
      <c r="L161" s="27"/>
      <c r="M161" s="43">
        <f t="shared" si="101"/>
        <v>307558131</v>
      </c>
      <c r="N161" s="27">
        <v>0</v>
      </c>
      <c r="O161" s="27">
        <v>235166196</v>
      </c>
      <c r="P161" s="27">
        <f>+M161-O161-N161</f>
        <v>72391935</v>
      </c>
      <c r="Q161" s="9">
        <v>132758786</v>
      </c>
      <c r="R161" s="25">
        <f t="shared" si="77"/>
        <v>0.43165428781982029</v>
      </c>
      <c r="S161" s="9">
        <v>29394313</v>
      </c>
      <c r="T161" s="10">
        <v>29394313</v>
      </c>
    </row>
    <row r="162" spans="1:20" ht="39" customHeight="1" x14ac:dyDescent="0.25">
      <c r="A162" s="90" t="s">
        <v>18</v>
      </c>
      <c r="B162" s="53" t="s">
        <v>95</v>
      </c>
      <c r="C162" s="7" t="s">
        <v>89</v>
      </c>
      <c r="D162" s="7" t="s">
        <v>97</v>
      </c>
      <c r="E162" s="7" t="s">
        <v>206</v>
      </c>
      <c r="F162" s="7" t="s">
        <v>157</v>
      </c>
      <c r="G162" s="23" t="s">
        <v>183</v>
      </c>
      <c r="H162" s="7" t="s">
        <v>5</v>
      </c>
      <c r="I162" s="8">
        <v>10</v>
      </c>
      <c r="J162" s="9">
        <v>463147789</v>
      </c>
      <c r="K162" s="27"/>
      <c r="L162" s="27"/>
      <c r="M162" s="43">
        <f t="shared" si="101"/>
        <v>463147789</v>
      </c>
      <c r="N162" s="27">
        <v>0</v>
      </c>
      <c r="O162" s="27">
        <v>383187480</v>
      </c>
      <c r="P162" s="27">
        <f>+M162-O162-N162</f>
        <v>79960309</v>
      </c>
      <c r="Q162" s="9">
        <v>158884091</v>
      </c>
      <c r="R162" s="25">
        <f t="shared" si="77"/>
        <v>0.34305268161390273</v>
      </c>
      <c r="S162" s="9">
        <v>0</v>
      </c>
      <c r="T162" s="10">
        <v>0</v>
      </c>
    </row>
    <row r="163" spans="1:20" ht="39" customHeight="1" x14ac:dyDescent="0.25">
      <c r="A163" s="91" t="s">
        <v>18</v>
      </c>
      <c r="B163" s="11" t="s">
        <v>95</v>
      </c>
      <c r="C163" s="11" t="s">
        <v>89</v>
      </c>
      <c r="D163" s="11">
        <v>25</v>
      </c>
      <c r="E163" s="11"/>
      <c r="F163" s="11"/>
      <c r="G163" s="12" t="s">
        <v>207</v>
      </c>
      <c r="H163" s="11" t="s">
        <v>5</v>
      </c>
      <c r="I163" s="13">
        <v>10</v>
      </c>
      <c r="J163" s="14">
        <f>J164+J165</f>
        <v>24962878183</v>
      </c>
      <c r="K163" s="24">
        <f t="shared" ref="K163:L163" si="114">K164+K165</f>
        <v>0</v>
      </c>
      <c r="L163" s="24">
        <f t="shared" si="114"/>
        <v>0</v>
      </c>
      <c r="M163" s="46">
        <f>M164+M165</f>
        <v>24962878183</v>
      </c>
      <c r="N163" s="24">
        <f>N164+N165</f>
        <v>0</v>
      </c>
      <c r="O163" s="24">
        <f>O164+O165</f>
        <v>11180242688.440001</v>
      </c>
      <c r="P163" s="24">
        <f>P164+P165</f>
        <v>13782635494.559999</v>
      </c>
      <c r="Q163" s="14">
        <f>Q164+Q165</f>
        <v>11102903012.440001</v>
      </c>
      <c r="R163" s="26">
        <f>IF(Q163&gt;1,Q163/(M163-N163),0)</f>
        <v>0.44477655705587676</v>
      </c>
      <c r="S163" s="14">
        <f>S164+S165</f>
        <v>10552329515.809999</v>
      </c>
      <c r="T163" s="22">
        <f t="shared" ref="T163" si="115">T164+T165</f>
        <v>10552329515.809999</v>
      </c>
    </row>
    <row r="164" spans="1:20" ht="39" customHeight="1" x14ac:dyDescent="0.25">
      <c r="A164" s="90" t="s">
        <v>18</v>
      </c>
      <c r="B164" s="7" t="s">
        <v>95</v>
      </c>
      <c r="C164" s="7" t="s">
        <v>89</v>
      </c>
      <c r="D164" s="7">
        <v>25</v>
      </c>
      <c r="E164" s="7" t="s">
        <v>206</v>
      </c>
      <c r="F164" s="7">
        <v>2999011</v>
      </c>
      <c r="G164" s="23" t="s">
        <v>208</v>
      </c>
      <c r="H164" s="7" t="s">
        <v>5</v>
      </c>
      <c r="I164" s="8">
        <v>10</v>
      </c>
      <c r="J164" s="9">
        <v>3044496517</v>
      </c>
      <c r="K164" s="24"/>
      <c r="L164" s="24"/>
      <c r="M164" s="43">
        <f t="shared" si="101"/>
        <v>3044496517</v>
      </c>
      <c r="N164" s="27"/>
      <c r="O164" s="27">
        <v>645794099.44000006</v>
      </c>
      <c r="P164" s="27">
        <f>+M164-O164-N164</f>
        <v>2398702417.5599999</v>
      </c>
      <c r="Q164" s="9">
        <v>568454423.44000006</v>
      </c>
      <c r="R164" s="26">
        <f t="shared" si="77"/>
        <v>0.18671541263582928</v>
      </c>
      <c r="S164" s="9">
        <v>17880926.809999999</v>
      </c>
      <c r="T164" s="10">
        <v>17880926.809999999</v>
      </c>
    </row>
    <row r="165" spans="1:20" ht="39" customHeight="1" x14ac:dyDescent="0.25">
      <c r="A165" s="90" t="s">
        <v>18</v>
      </c>
      <c r="B165" s="7" t="s">
        <v>95</v>
      </c>
      <c r="C165" s="7" t="s">
        <v>89</v>
      </c>
      <c r="D165" s="7">
        <v>25</v>
      </c>
      <c r="E165" s="7" t="s">
        <v>206</v>
      </c>
      <c r="F165" s="7">
        <v>2999054</v>
      </c>
      <c r="G165" s="23" t="s">
        <v>209</v>
      </c>
      <c r="H165" s="7" t="s">
        <v>5</v>
      </c>
      <c r="I165" s="8">
        <v>10</v>
      </c>
      <c r="J165" s="9">
        <v>21918381666</v>
      </c>
      <c r="K165" s="24"/>
      <c r="L165" s="24"/>
      <c r="M165" s="43">
        <f t="shared" si="101"/>
        <v>21918381666</v>
      </c>
      <c r="N165" s="27"/>
      <c r="O165" s="27">
        <v>10534448589</v>
      </c>
      <c r="P165" s="27">
        <f t="shared" ref="P165:P167" si="116">+M165-O165-N165</f>
        <v>11383933077</v>
      </c>
      <c r="Q165" s="9">
        <v>10534448589</v>
      </c>
      <c r="R165" s="26">
        <f>IF(Q165&gt;1,Q165/(M165-N165),0)</f>
        <v>0.48062164212338432</v>
      </c>
      <c r="S165" s="9">
        <v>10534448589</v>
      </c>
      <c r="T165" s="10">
        <v>10534448589</v>
      </c>
    </row>
    <row r="166" spans="1:20" ht="39" customHeight="1" x14ac:dyDescent="0.25">
      <c r="A166" s="91" t="s">
        <v>18</v>
      </c>
      <c r="B166" s="11" t="s">
        <v>95</v>
      </c>
      <c r="C166" s="11" t="s">
        <v>89</v>
      </c>
      <c r="D166" s="11">
        <v>26</v>
      </c>
      <c r="E166" s="7"/>
      <c r="F166" s="7"/>
      <c r="G166" s="12" t="s">
        <v>217</v>
      </c>
      <c r="H166" s="11" t="s">
        <v>5</v>
      </c>
      <c r="I166" s="13">
        <v>10</v>
      </c>
      <c r="J166" s="14">
        <f>J167</f>
        <v>16119500000</v>
      </c>
      <c r="K166" s="24">
        <f t="shared" ref="K166:O166" si="117">K167</f>
        <v>0</v>
      </c>
      <c r="L166" s="24">
        <f t="shared" si="117"/>
        <v>0</v>
      </c>
      <c r="M166" s="46">
        <f t="shared" si="117"/>
        <v>16119500000</v>
      </c>
      <c r="N166" s="24">
        <f t="shared" si="117"/>
        <v>0</v>
      </c>
      <c r="O166" s="24">
        <f t="shared" si="117"/>
        <v>16119500000</v>
      </c>
      <c r="P166" s="24">
        <f>P167</f>
        <v>0</v>
      </c>
      <c r="Q166" s="14">
        <f>Q167</f>
        <v>0</v>
      </c>
      <c r="R166" s="26">
        <f>IF(Q166&gt;1,Q166/(M166-N166),0)</f>
        <v>0</v>
      </c>
      <c r="S166" s="14">
        <f t="shared" ref="S166:T166" si="118">S167</f>
        <v>0</v>
      </c>
      <c r="T166" s="22">
        <f t="shared" si="118"/>
        <v>0</v>
      </c>
    </row>
    <row r="167" spans="1:20" ht="32.25" customHeight="1" x14ac:dyDescent="0.25">
      <c r="A167" s="90" t="s">
        <v>18</v>
      </c>
      <c r="B167" s="7" t="s">
        <v>95</v>
      </c>
      <c r="C167" s="7" t="s">
        <v>89</v>
      </c>
      <c r="D167" s="7">
        <v>26</v>
      </c>
      <c r="E167" s="7" t="s">
        <v>216</v>
      </c>
      <c r="F167" s="7">
        <v>2999054</v>
      </c>
      <c r="G167" s="23" t="s">
        <v>215</v>
      </c>
      <c r="H167" s="7" t="s">
        <v>5</v>
      </c>
      <c r="I167" s="8">
        <v>10</v>
      </c>
      <c r="J167" s="9">
        <v>16119500000</v>
      </c>
      <c r="K167" s="27">
        <v>0</v>
      </c>
      <c r="L167" s="27"/>
      <c r="M167" s="43">
        <f t="shared" si="101"/>
        <v>16119500000</v>
      </c>
      <c r="N167" s="27">
        <v>0</v>
      </c>
      <c r="O167" s="27">
        <v>16119500000</v>
      </c>
      <c r="P167" s="27">
        <f t="shared" si="116"/>
        <v>0</v>
      </c>
      <c r="Q167" s="9">
        <v>0</v>
      </c>
      <c r="R167" s="25">
        <f t="shared" si="77"/>
        <v>0</v>
      </c>
      <c r="S167" s="9">
        <v>0</v>
      </c>
      <c r="T167" s="10">
        <v>0</v>
      </c>
    </row>
    <row r="168" spans="1:20" ht="16.5" customHeight="1" x14ac:dyDescent="0.25">
      <c r="A168" s="77" t="s">
        <v>18</v>
      </c>
      <c r="B168" s="77"/>
      <c r="C168" s="77"/>
      <c r="D168" s="77"/>
      <c r="E168" s="77"/>
      <c r="F168" s="77"/>
      <c r="G168" s="78" t="s">
        <v>19</v>
      </c>
      <c r="H168" s="77" t="s">
        <v>5</v>
      </c>
      <c r="I168" s="79">
        <v>10</v>
      </c>
      <c r="J168" s="61">
        <f>J119+J147</f>
        <v>136555593083</v>
      </c>
      <c r="K168" s="61">
        <f t="shared" ref="K168:Q168" si="119">K119+K147</f>
        <v>3159178868</v>
      </c>
      <c r="L168" s="61">
        <f t="shared" si="119"/>
        <v>3159178868</v>
      </c>
      <c r="M168" s="61">
        <f t="shared" si="119"/>
        <v>136555593083</v>
      </c>
      <c r="N168" s="3">
        <f t="shared" si="119"/>
        <v>0</v>
      </c>
      <c r="O168" s="61">
        <f t="shared" si="119"/>
        <v>106120465319.59</v>
      </c>
      <c r="P168" s="61">
        <f t="shared" si="119"/>
        <v>30435127763.409996</v>
      </c>
      <c r="Q168" s="61">
        <f t="shared" si="119"/>
        <v>64718495488.590004</v>
      </c>
      <c r="R168" s="73">
        <f>IF(Q168&gt;1,Q168/(M168-N168),0)</f>
        <v>0.47393514998139541</v>
      </c>
      <c r="S168" s="61">
        <f>S119+S147</f>
        <v>17006448588.68</v>
      </c>
      <c r="T168" s="70">
        <f>T119+T147</f>
        <v>16197514422.77</v>
      </c>
    </row>
    <row r="169" spans="1:20" ht="15" customHeight="1" x14ac:dyDescent="0.25">
      <c r="A169" s="77" t="s">
        <v>18</v>
      </c>
      <c r="B169" s="77"/>
      <c r="C169" s="77"/>
      <c r="D169" s="77"/>
      <c r="E169" s="77"/>
      <c r="F169" s="77"/>
      <c r="G169" s="78" t="s">
        <v>19</v>
      </c>
      <c r="H169" s="77" t="s">
        <v>8</v>
      </c>
      <c r="I169" s="79">
        <v>21</v>
      </c>
      <c r="J169" s="61">
        <f>J120</f>
        <v>315108465</v>
      </c>
      <c r="K169" s="61">
        <f>K120</f>
        <v>0</v>
      </c>
      <c r="L169" s="61">
        <f>L120</f>
        <v>0</v>
      </c>
      <c r="M169" s="61">
        <f>M120</f>
        <v>315108465</v>
      </c>
      <c r="N169" s="3">
        <v>0</v>
      </c>
      <c r="O169" s="61">
        <f>O120</f>
        <v>315108465</v>
      </c>
      <c r="P169" s="61">
        <f>P120</f>
        <v>0</v>
      </c>
      <c r="Q169" s="61">
        <f>Q120</f>
        <v>315108465</v>
      </c>
      <c r="R169" s="73">
        <f t="shared" ref="R169" si="120">IF(Q169&gt;1,Q169/(M169-N169),0)</f>
        <v>1</v>
      </c>
      <c r="S169" s="61">
        <f>S120</f>
        <v>0</v>
      </c>
      <c r="T169" s="70">
        <f>T120</f>
        <v>0</v>
      </c>
    </row>
    <row r="170" spans="1:20" s="5" customFormat="1" ht="13.5" customHeight="1" thickBot="1" x14ac:dyDescent="0.25">
      <c r="A170" s="137" t="s">
        <v>29</v>
      </c>
      <c r="B170" s="138"/>
      <c r="C170" s="138"/>
      <c r="D170" s="138"/>
      <c r="E170" s="138"/>
      <c r="F170" s="138"/>
      <c r="G170" s="138"/>
      <c r="H170" s="138"/>
      <c r="I170" s="139"/>
      <c r="J170" s="40">
        <f>SUM(J168:J169)</f>
        <v>136870701548</v>
      </c>
      <c r="K170" s="40">
        <f t="shared" ref="K170:Q170" si="121">SUM(K168:K169)</f>
        <v>3159178868</v>
      </c>
      <c r="L170" s="40">
        <f t="shared" si="121"/>
        <v>3159178868</v>
      </c>
      <c r="M170" s="40">
        <f t="shared" si="121"/>
        <v>136870701548</v>
      </c>
      <c r="N170" s="40">
        <f t="shared" si="121"/>
        <v>0</v>
      </c>
      <c r="O170" s="40">
        <f t="shared" si="121"/>
        <v>106435573784.59</v>
      </c>
      <c r="P170" s="40">
        <f t="shared" si="121"/>
        <v>30435127763.409996</v>
      </c>
      <c r="Q170" s="40">
        <f t="shared" si="121"/>
        <v>65033603953.590004</v>
      </c>
      <c r="R170" s="42">
        <f>IF(Q170&gt;1,Q170/(M170-N170),0)</f>
        <v>0.47514627468160514</v>
      </c>
      <c r="S170" s="40">
        <f>SUM(S168:S169)</f>
        <v>17006448588.68</v>
      </c>
      <c r="T170" s="50">
        <f>SUM(T168:T169)</f>
        <v>16197514422.77</v>
      </c>
    </row>
    <row r="171" spans="1:20" s="15" customFormat="1" ht="11.25" customHeight="1" thickBot="1" x14ac:dyDescent="0.3">
      <c r="A171" s="137" t="s">
        <v>30</v>
      </c>
      <c r="B171" s="138"/>
      <c r="C171" s="138"/>
      <c r="D171" s="138"/>
      <c r="E171" s="138"/>
      <c r="F171" s="138"/>
      <c r="G171" s="138"/>
      <c r="H171" s="138"/>
      <c r="I171" s="138"/>
      <c r="J171" s="76">
        <f>+J170+J117</f>
        <v>548423537395</v>
      </c>
      <c r="K171" s="76">
        <f t="shared" ref="K171:Q171" si="122">+K170+K117</f>
        <v>6936032234</v>
      </c>
      <c r="L171" s="76">
        <f t="shared" si="122"/>
        <v>6936032234</v>
      </c>
      <c r="M171" s="76">
        <f t="shared" si="122"/>
        <v>548423537395</v>
      </c>
      <c r="N171" s="76">
        <f t="shared" si="122"/>
        <v>0</v>
      </c>
      <c r="O171" s="40">
        <f t="shared" si="122"/>
        <v>344609595356.69</v>
      </c>
      <c r="P171" s="40">
        <f t="shared" si="122"/>
        <v>203813942038.31</v>
      </c>
      <c r="Q171" s="40">
        <f t="shared" si="122"/>
        <v>299356497431.39001</v>
      </c>
      <c r="R171" s="42">
        <f>IF(Q171&gt;1,Q171/(M171-N171),0)</f>
        <v>0.54584910569908607</v>
      </c>
      <c r="S171" s="40">
        <f>+S170+S117</f>
        <v>229390042721.64999</v>
      </c>
      <c r="T171" s="50">
        <f>+T170+T117</f>
        <v>228470900465.34</v>
      </c>
    </row>
    <row r="172" spans="1:20" s="15" customFormat="1" ht="6.75" customHeight="1" x14ac:dyDescent="0.25">
      <c r="A172" s="104"/>
      <c r="B172" s="104"/>
      <c r="C172" s="104"/>
      <c r="D172" s="104"/>
      <c r="E172" s="104"/>
      <c r="F172" s="104"/>
      <c r="G172" s="104"/>
      <c r="H172" s="104"/>
      <c r="I172" s="104"/>
      <c r="J172" s="100"/>
      <c r="K172" s="100"/>
      <c r="L172" s="100"/>
      <c r="M172" s="100"/>
      <c r="N172" s="100"/>
      <c r="O172" s="100"/>
      <c r="P172" s="100"/>
      <c r="Q172" s="100"/>
      <c r="R172" s="105"/>
      <c r="S172" s="100"/>
      <c r="T172" s="100"/>
    </row>
    <row r="173" spans="1:20" s="15" customFormat="1" ht="9" customHeight="1" x14ac:dyDescent="0.25">
      <c r="A173" s="15" t="s">
        <v>32</v>
      </c>
      <c r="E173" s="16"/>
      <c r="F173" s="17"/>
      <c r="G173" s="18"/>
      <c r="H173" s="19"/>
      <c r="I173" s="20"/>
      <c r="J173" s="20">
        <f>J171-548423537395</f>
        <v>0</v>
      </c>
      <c r="K173" s="20">
        <f>K171-L171</f>
        <v>0</v>
      </c>
      <c r="L173" s="20"/>
      <c r="M173" s="100"/>
      <c r="N173" s="57"/>
      <c r="O173" s="44"/>
      <c r="P173" s="21"/>
      <c r="Q173" s="30"/>
      <c r="R173" s="21"/>
      <c r="S173" s="63"/>
      <c r="T173" s="63"/>
    </row>
    <row r="174" spans="1:20" s="15" customFormat="1" ht="9" customHeight="1" x14ac:dyDescent="0.25">
      <c r="A174" s="15" t="s">
        <v>228</v>
      </c>
      <c r="E174" s="16"/>
      <c r="F174" s="17"/>
      <c r="G174" s="18"/>
      <c r="H174" s="19"/>
      <c r="I174" s="20"/>
      <c r="J174" s="20"/>
      <c r="K174" s="20"/>
      <c r="L174" s="20">
        <f>K171-L171</f>
        <v>0</v>
      </c>
      <c r="N174" s="63"/>
      <c r="O174" s="28"/>
      <c r="P174" s="21"/>
      <c r="Q174" s="31"/>
      <c r="R174" s="21"/>
    </row>
    <row r="175" spans="1:20" s="15" customFormat="1" ht="9" customHeight="1" x14ac:dyDescent="0.25">
      <c r="A175" s="15" t="s">
        <v>201</v>
      </c>
      <c r="E175" s="16"/>
      <c r="F175" s="17"/>
      <c r="G175" s="18"/>
      <c r="H175" s="19"/>
      <c r="I175" s="20"/>
      <c r="J175" s="20"/>
      <c r="K175" s="20"/>
      <c r="L175" s="106"/>
      <c r="M175" s="63"/>
      <c r="N175" s="21"/>
      <c r="O175" s="64"/>
      <c r="P175" s="21"/>
      <c r="Q175" s="31"/>
      <c r="R175" s="21"/>
    </row>
    <row r="176" spans="1:20" x14ac:dyDescent="0.25">
      <c r="A176" s="15" t="s">
        <v>229</v>
      </c>
      <c r="B176" s="15"/>
      <c r="C176" s="15"/>
      <c r="D176" s="15"/>
      <c r="E176" s="16"/>
      <c r="F176" s="17"/>
      <c r="G176" s="18"/>
      <c r="H176" s="19"/>
      <c r="I176" s="20"/>
      <c r="J176" s="20"/>
      <c r="K176" s="20"/>
      <c r="L176" s="20"/>
      <c r="M176" s="15"/>
      <c r="N176" s="63"/>
      <c r="O176" s="28"/>
      <c r="P176" s="21"/>
      <c r="Q176" s="31"/>
      <c r="R176" s="21"/>
      <c r="S176" s="15"/>
      <c r="T176" s="15"/>
    </row>
    <row r="177" spans="12:12" x14ac:dyDescent="0.25">
      <c r="L177" s="107"/>
    </row>
  </sheetData>
  <mergeCells count="13">
    <mergeCell ref="A2:T2"/>
    <mergeCell ref="A1:F1"/>
    <mergeCell ref="A118:T118"/>
    <mergeCell ref="A170:I170"/>
    <mergeCell ref="A171:I171"/>
    <mergeCell ref="A34:I34"/>
    <mergeCell ref="A35:T35"/>
    <mergeCell ref="A88:I88"/>
    <mergeCell ref="A89:T89"/>
    <mergeCell ref="A113:I113"/>
    <mergeCell ref="A117:I117"/>
    <mergeCell ref="A102:T102"/>
    <mergeCell ref="A101:I101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JULIO 31-2026&amp;R
Página &amp;P de &amp;N</oddHeader>
  </headerFooter>
  <ignoredErrors>
    <ignoredError sqref="P96 N23:N31 F111 H111:I111 C33:I33 Q33 G23:I26 H27:I27 G28:I31 H50:I50 H53:I55 C18:D18 C19:E26 C3:E4 I4 C36 C5:F17 C27:F32 O94:Q94 M87:M88 P110 N110 M103:M104 M105:O105 M108:O109 Q105 S88:T88 S93:T95 S101:T101 S108:T109 S103:T105 O103 Q90 B103:E112 Q108:Q109 B92:B97 B91:I91 S90:T90 N101:O101 O33:O34 S33:T34 F103:I110 C93:I94 C86:I87 B155:D156 B147:E147 F150 F152:F153 F155:F156 F161:F162 B142:C142 B148:D153 B154:I154 C82:F85 B82:B87 B157:I157 O93 Q93 O95 Q95 Q103 Q101 B3:B33 B143:D146 F143:F146 F159:I159 K159 H92:I92 C96:I97 C95:F95 H95:I95 B133:D133 I81:I85 B45:I46 N52 K154:L154 C92:F92 B163:C167 B158:D162 B100:I100 O87 O88:Q88 O104:Q104 B90:F90 H90:I90 N50 I51 C37:F41 B36:B41 B42:F44 I69:I79 B69:F81 N55 B47:F67 I56:I68 B68:F68" numberStoredAsText="1"/>
    <ignoredError sqref="M18 R3:R4 R18 R36 R86 R96:R98 R111:R112 N112 P26 P18 M142:P142 M160 R33:R34 P122 A114:I114 G122:I122 A134:A141 E121:I121 E123:F123 E127:M127 G134:I134 G137:I137 A118:T118 A116:I116 S115:T115 M122:N122 R122 O123:T123 H138:I138 R147:R148 R154 R159:R160 R168:R171 R103 R105 H123:I123 E129:I129 H139:I139 P137 M124:N124 G124:I126 M125:N125 G140:I141 L130:N130 G130:I132 M131:N132 P124:P127 P139:P141 A120:F120 H120:I120 R124:R126 P128 R128 P130:P132 M150:N150 R130:R132 R135:R136 R139:R142 P105 O121 Q121:T121 G135:H136 N135:N136 M123 Q114 A115:O115 Q115 A119:I119 Q127:T127 G128:I128 M137:N137 M114 M139:M141 R119:R120 O127 R93 P154 K122 M126:N126 K128:N128 K131:K132 K135 K137 K139 K141 A121:A122 K129:M129 A117:M117 T117 P149:P151 R157 A123:A127 A129:A132 A128 L121 K123:L123 K138:M138 K114 K116:M116 M166 R166 O117:Q117 O116:Q116 R149:R151 O114 M163 P163 P166 R163 R45:R46 M26 M157 P157 J148:N148 S148:T148 S116:T116 R133:R134 R114 R115 R113 R116:R117 M95 N103 O129:T129 O138:T138 M149 O148:Q148 M151 O160:P160 R26 N88 N45 P98" formula="1"/>
    <ignoredError sqref="P108:P109 R87 R94:R95 P92 R90:R91 R107:R110 M159 M154 B138:F138 B134:F134 R104 P159 F122 F124:F126 B129:D132 F130:F132 B135:D137 F135:F137 B139:D141 B128:D128 B121:D122 F139:F141 R88 B123:D127 F128" numberStoredAsText="1" formula="1"/>
    <ignoredError sqref="N18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JULIO-31-2026</vt:lpstr>
      <vt:lpstr>'JULIO-31-2026'!Área_de_impresión</vt:lpstr>
      <vt:lpstr>'JULIO-31-2026'!Títulos_a_imprimir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2024-07-03T16:25:42Z</cp:lastPrinted>
  <dcterms:created xsi:type="dcterms:W3CDTF">2016-02-01T15:56:25Z</dcterms:created>
  <dcterms:modified xsi:type="dcterms:W3CDTF">2026-08-14T14:11:01Z</dcterms:modified>
</cp:coreProperties>
</file>