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Agosto/"/>
    </mc:Choice>
  </mc:AlternateContent>
  <xr:revisionPtr revIDLastSave="0" documentId="8_{8E5DB635-E899-4706-ABB4-099B42835E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GOSTO-31-2026" sheetId="1" r:id="rId1"/>
  </sheets>
  <externalReferences>
    <externalReference r:id="rId2"/>
  </externalReferences>
  <definedNames>
    <definedName name="_xlnm._FilterDatabase" localSheetId="0" hidden="1">'AGOSTO-31-2026'!$A$1:$IY$1</definedName>
    <definedName name="_xlnm.Print_Area" localSheetId="0">'AGOSTO-31-2026'!$A$1:$T$178</definedName>
    <definedName name="_xlnm.Print_Titles" localSheetId="0">'AGOSTO-31-2026'!$1:$1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5" i="1" l="1"/>
  <c r="R110" i="1"/>
  <c r="R167" i="1"/>
  <c r="R130" i="1"/>
  <c r="R131" i="1"/>
  <c r="R132" i="1"/>
  <c r="R140" i="1"/>
  <c r="R141" i="1"/>
  <c r="R146" i="1"/>
  <c r="R150" i="1"/>
  <c r="R152" i="1"/>
  <c r="R156" i="1"/>
  <c r="R158" i="1"/>
  <c r="R161" i="1"/>
  <c r="R122" i="1"/>
  <c r="R124" i="1"/>
  <c r="R56" i="1"/>
  <c r="R65" i="1"/>
  <c r="R80" i="1"/>
  <c r="R40" i="1"/>
  <c r="R25" i="1"/>
  <c r="R27" i="1"/>
  <c r="Q26" i="1"/>
  <c r="Q4" i="1"/>
  <c r="R97" i="1"/>
  <c r="R96" i="1"/>
  <c r="N162" i="1"/>
  <c r="N161" i="1"/>
  <c r="K77" i="1"/>
  <c r="K55" i="1"/>
  <c r="K54" i="1"/>
  <c r="K9" i="1"/>
  <c r="M167" i="1"/>
  <c r="P167" i="1" s="1"/>
  <c r="P166" i="1" s="1"/>
  <c r="T166" i="1"/>
  <c r="S166" i="1"/>
  <c r="Q166" i="1"/>
  <c r="R166" i="1" s="1"/>
  <c r="O166" i="1"/>
  <c r="N166" i="1"/>
  <c r="M166" i="1"/>
  <c r="L166" i="1"/>
  <c r="K166" i="1"/>
  <c r="J166" i="1"/>
  <c r="M165" i="1"/>
  <c r="R165" i="1" s="1"/>
  <c r="M164" i="1"/>
  <c r="P164" i="1" s="1"/>
  <c r="T163" i="1"/>
  <c r="S163" i="1"/>
  <c r="Q163" i="1"/>
  <c r="O163" i="1"/>
  <c r="N163" i="1"/>
  <c r="L163" i="1"/>
  <c r="K163" i="1"/>
  <c r="J163" i="1"/>
  <c r="M162" i="1"/>
  <c r="R162" i="1" s="1"/>
  <c r="M161" i="1"/>
  <c r="T160" i="1"/>
  <c r="S160" i="1"/>
  <c r="Q160" i="1"/>
  <c r="O160" i="1"/>
  <c r="L160" i="1"/>
  <c r="K160" i="1"/>
  <c r="J160" i="1"/>
  <c r="M159" i="1"/>
  <c r="R159" i="1" s="1"/>
  <c r="M158" i="1"/>
  <c r="N158" i="1" s="1"/>
  <c r="P158" i="1" s="1"/>
  <c r="T157" i="1"/>
  <c r="S157" i="1"/>
  <c r="Q157" i="1"/>
  <c r="O157" i="1"/>
  <c r="L157" i="1"/>
  <c r="K157" i="1"/>
  <c r="J157" i="1"/>
  <c r="M156" i="1"/>
  <c r="N156" i="1" s="1"/>
  <c r="M155" i="1"/>
  <c r="R155" i="1" s="1"/>
  <c r="T154" i="1"/>
  <c r="S154" i="1"/>
  <c r="Q154" i="1"/>
  <c r="O154" i="1"/>
  <c r="M154" i="1"/>
  <c r="L154" i="1"/>
  <c r="K154" i="1"/>
  <c r="J154" i="1"/>
  <c r="M153" i="1"/>
  <c r="R153" i="1" s="1"/>
  <c r="M152" i="1"/>
  <c r="N152" i="1" s="1"/>
  <c r="T151" i="1"/>
  <c r="S151" i="1"/>
  <c r="Q151" i="1"/>
  <c r="O151" i="1"/>
  <c r="L151" i="1"/>
  <c r="K151" i="1"/>
  <c r="J151" i="1"/>
  <c r="M150" i="1"/>
  <c r="N150" i="1" s="1"/>
  <c r="P150" i="1" s="1"/>
  <c r="P149" i="1" s="1"/>
  <c r="T149" i="1"/>
  <c r="S149" i="1"/>
  <c r="Q149" i="1"/>
  <c r="R149" i="1" s="1"/>
  <c r="O149" i="1"/>
  <c r="M149" i="1"/>
  <c r="L149" i="1"/>
  <c r="K149" i="1"/>
  <c r="J149" i="1"/>
  <c r="M146" i="1"/>
  <c r="P146" i="1" s="1"/>
  <c r="M145" i="1"/>
  <c r="R145" i="1" s="1"/>
  <c r="M144" i="1"/>
  <c r="N144" i="1" s="1"/>
  <c r="P144" i="1" s="1"/>
  <c r="M143" i="1"/>
  <c r="N143" i="1" s="1"/>
  <c r="P143" i="1" s="1"/>
  <c r="T142" i="1"/>
  <c r="S142" i="1"/>
  <c r="Q142" i="1"/>
  <c r="O142" i="1"/>
  <c r="L142" i="1"/>
  <c r="K142" i="1"/>
  <c r="J142" i="1"/>
  <c r="M141" i="1"/>
  <c r="P141" i="1" s="1"/>
  <c r="M140" i="1"/>
  <c r="P140" i="1" s="1"/>
  <c r="M139" i="1"/>
  <c r="P139" i="1" s="1"/>
  <c r="P138" i="1" s="1"/>
  <c r="T138" i="1"/>
  <c r="S138" i="1"/>
  <c r="Q138" i="1"/>
  <c r="O138" i="1"/>
  <c r="N138" i="1"/>
  <c r="L138" i="1"/>
  <c r="K138" i="1"/>
  <c r="J138" i="1"/>
  <c r="M137" i="1"/>
  <c r="R137" i="1" s="1"/>
  <c r="M136" i="1"/>
  <c r="R136" i="1" s="1"/>
  <c r="M135" i="1"/>
  <c r="R135" i="1" s="1"/>
  <c r="T134" i="1"/>
  <c r="T120" i="1" s="1"/>
  <c r="T169" i="1" s="1"/>
  <c r="S134" i="1"/>
  <c r="Q134" i="1"/>
  <c r="O134" i="1"/>
  <c r="O120" i="1" s="1"/>
  <c r="O169" i="1" s="1"/>
  <c r="N134" i="1"/>
  <c r="N120" i="1" s="1"/>
  <c r="L134" i="1"/>
  <c r="L120" i="1" s="1"/>
  <c r="L169" i="1" s="1"/>
  <c r="K134" i="1"/>
  <c r="K120" i="1" s="1"/>
  <c r="K169" i="1" s="1"/>
  <c r="J134" i="1"/>
  <c r="J120" i="1" s="1"/>
  <c r="J169" i="1" s="1"/>
  <c r="T133" i="1"/>
  <c r="S133" i="1"/>
  <c r="Q133" i="1"/>
  <c r="O133" i="1"/>
  <c r="N133" i="1"/>
  <c r="L133" i="1"/>
  <c r="K133" i="1"/>
  <c r="J133" i="1"/>
  <c r="M132" i="1"/>
  <c r="P132" i="1" s="1"/>
  <c r="M131" i="1"/>
  <c r="P131" i="1" s="1"/>
  <c r="M130" i="1"/>
  <c r="T129" i="1"/>
  <c r="S129" i="1"/>
  <c r="Q129" i="1"/>
  <c r="O129" i="1"/>
  <c r="N129" i="1"/>
  <c r="L129" i="1"/>
  <c r="K129" i="1"/>
  <c r="J129" i="1"/>
  <c r="M128" i="1"/>
  <c r="R128" i="1" s="1"/>
  <c r="T127" i="1"/>
  <c r="S127" i="1"/>
  <c r="Q127" i="1"/>
  <c r="O127" i="1"/>
  <c r="N127" i="1"/>
  <c r="L127" i="1"/>
  <c r="K127" i="1"/>
  <c r="J127" i="1"/>
  <c r="P126" i="1"/>
  <c r="M126" i="1"/>
  <c r="R126" i="1" s="1"/>
  <c r="M125" i="1"/>
  <c r="P125" i="1" s="1"/>
  <c r="M124" i="1"/>
  <c r="P124" i="1" s="1"/>
  <c r="T123" i="1"/>
  <c r="S123" i="1"/>
  <c r="Q123" i="1"/>
  <c r="O123" i="1"/>
  <c r="N123" i="1"/>
  <c r="L123" i="1"/>
  <c r="K123" i="1"/>
  <c r="J123" i="1"/>
  <c r="M122" i="1"/>
  <c r="T121" i="1"/>
  <c r="S121" i="1"/>
  <c r="Q121" i="1"/>
  <c r="O121" i="1"/>
  <c r="N121" i="1"/>
  <c r="L121" i="1"/>
  <c r="L119" i="1" s="1"/>
  <c r="K121" i="1"/>
  <c r="J121" i="1"/>
  <c r="S120" i="1"/>
  <c r="S169" i="1" s="1"/>
  <c r="M110" i="1"/>
  <c r="P110" i="1" s="1"/>
  <c r="T109" i="1"/>
  <c r="T108" i="1" s="1"/>
  <c r="T104" i="1" s="1"/>
  <c r="T112" i="1" s="1"/>
  <c r="T115" i="1" s="1"/>
  <c r="S109" i="1"/>
  <c r="S108" i="1" s="1"/>
  <c r="S104" i="1" s="1"/>
  <c r="S112" i="1" s="1"/>
  <c r="S115" i="1" s="1"/>
  <c r="Q109" i="1"/>
  <c r="R109" i="1" s="1"/>
  <c r="O109" i="1"/>
  <c r="O108" i="1" s="1"/>
  <c r="O104" i="1" s="1"/>
  <c r="O112" i="1" s="1"/>
  <c r="O115" i="1" s="1"/>
  <c r="N109" i="1"/>
  <c r="N112" i="1" s="1"/>
  <c r="N115" i="1" s="1"/>
  <c r="L109" i="1"/>
  <c r="K109" i="1"/>
  <c r="J109" i="1"/>
  <c r="J108" i="1" s="1"/>
  <c r="J104" i="1" s="1"/>
  <c r="J112" i="1" s="1"/>
  <c r="J115" i="1" s="1"/>
  <c r="Q108" i="1"/>
  <c r="Q104" i="1" s="1"/>
  <c r="R104" i="1" s="1"/>
  <c r="M107" i="1"/>
  <c r="R107" i="1" s="1"/>
  <c r="M106" i="1"/>
  <c r="R106" i="1" s="1"/>
  <c r="T105" i="1"/>
  <c r="T111" i="1" s="1"/>
  <c r="S105" i="1"/>
  <c r="S111" i="1" s="1"/>
  <c r="Q105" i="1"/>
  <c r="O105" i="1"/>
  <c r="O111" i="1" s="1"/>
  <c r="N105" i="1"/>
  <c r="N111" i="1" s="1"/>
  <c r="L105" i="1"/>
  <c r="L103" i="1" s="1"/>
  <c r="L111" i="1" s="1"/>
  <c r="K105" i="1"/>
  <c r="K103" i="1" s="1"/>
  <c r="K111" i="1" s="1"/>
  <c r="J105" i="1"/>
  <c r="J103" i="1" s="1"/>
  <c r="J111" i="1" s="1"/>
  <c r="L104" i="1"/>
  <c r="L112" i="1" s="1"/>
  <c r="L115" i="1" s="1"/>
  <c r="K104" i="1"/>
  <c r="K112" i="1" s="1"/>
  <c r="K115" i="1" s="1"/>
  <c r="M99" i="1"/>
  <c r="R99" i="1" s="1"/>
  <c r="T98" i="1"/>
  <c r="S98" i="1"/>
  <c r="Q98" i="1"/>
  <c r="O98" i="1"/>
  <c r="K98" i="1"/>
  <c r="J98" i="1"/>
  <c r="M98" i="1" s="1"/>
  <c r="N98" i="1" s="1"/>
  <c r="M97" i="1"/>
  <c r="P97" i="1" s="1"/>
  <c r="M96" i="1"/>
  <c r="P96" i="1" s="1"/>
  <c r="T95" i="1"/>
  <c r="T94" i="1" s="1"/>
  <c r="T93" i="1" s="1"/>
  <c r="S95" i="1"/>
  <c r="S94" i="1" s="1"/>
  <c r="S93" i="1" s="1"/>
  <c r="Q95" i="1"/>
  <c r="Q94" i="1" s="1"/>
  <c r="O95" i="1"/>
  <c r="O94" i="1" s="1"/>
  <c r="O93" i="1" s="1"/>
  <c r="N95" i="1"/>
  <c r="L95" i="1"/>
  <c r="K95" i="1"/>
  <c r="K94" i="1" s="1"/>
  <c r="K93" i="1" s="1"/>
  <c r="J95" i="1"/>
  <c r="L94" i="1"/>
  <c r="L93" i="1" s="1"/>
  <c r="M92" i="1"/>
  <c r="P92" i="1" s="1"/>
  <c r="P91" i="1" s="1"/>
  <c r="P90" i="1" s="1"/>
  <c r="T91" i="1"/>
  <c r="T90" i="1" s="1"/>
  <c r="S91" i="1"/>
  <c r="S90" i="1" s="1"/>
  <c r="Q91" i="1"/>
  <c r="O91" i="1"/>
  <c r="O90" i="1" s="1"/>
  <c r="N91" i="1"/>
  <c r="N90" i="1" s="1"/>
  <c r="N100" i="1" s="1"/>
  <c r="N101" i="1" s="1"/>
  <c r="L91" i="1"/>
  <c r="L90" i="1" s="1"/>
  <c r="K91" i="1"/>
  <c r="J91" i="1"/>
  <c r="K90" i="1"/>
  <c r="J90" i="1"/>
  <c r="Q87" i="1"/>
  <c r="O87" i="1"/>
  <c r="O116" i="1" s="1"/>
  <c r="M85" i="1"/>
  <c r="R85" i="1" s="1"/>
  <c r="K84" i="1"/>
  <c r="M84" i="1" s="1"/>
  <c r="R84" i="1" s="1"/>
  <c r="L83" i="1"/>
  <c r="K83" i="1"/>
  <c r="K82" i="1"/>
  <c r="M82" i="1" s="1"/>
  <c r="R82" i="1" s="1"/>
  <c r="L81" i="1"/>
  <c r="M81" i="1" s="1"/>
  <c r="K81" i="1"/>
  <c r="M80" i="1"/>
  <c r="P80" i="1" s="1"/>
  <c r="L79" i="1"/>
  <c r="M79" i="1" s="1"/>
  <c r="R79" i="1" s="1"/>
  <c r="K78" i="1"/>
  <c r="M78" i="1" s="1"/>
  <c r="R78" i="1" s="1"/>
  <c r="L77" i="1"/>
  <c r="M77" i="1" s="1"/>
  <c r="L76" i="1"/>
  <c r="K76" i="1"/>
  <c r="M76" i="1" s="1"/>
  <c r="P76" i="1" s="1"/>
  <c r="L75" i="1"/>
  <c r="M75" i="1"/>
  <c r="R75" i="1" s="1"/>
  <c r="L74" i="1"/>
  <c r="M74" i="1" s="1"/>
  <c r="R74" i="1" s="1"/>
  <c r="M73" i="1"/>
  <c r="R73" i="1" s="1"/>
  <c r="L72" i="1"/>
  <c r="M72" i="1" s="1"/>
  <c r="R72" i="1" s="1"/>
  <c r="M71" i="1"/>
  <c r="P71" i="1" s="1"/>
  <c r="M70" i="1"/>
  <c r="P70" i="1" s="1"/>
  <c r="K69" i="1"/>
  <c r="M69" i="1" s="1"/>
  <c r="M68" i="1"/>
  <c r="P68" i="1" s="1"/>
  <c r="K67" i="1"/>
  <c r="M67" i="1" s="1"/>
  <c r="L66" i="1"/>
  <c r="K66" i="1"/>
  <c r="M66" i="1" s="1"/>
  <c r="R66" i="1" s="1"/>
  <c r="M65" i="1"/>
  <c r="P65" i="1" s="1"/>
  <c r="L65" i="1"/>
  <c r="K65" i="1"/>
  <c r="L64" i="1"/>
  <c r="K64" i="1"/>
  <c r="L63" i="1"/>
  <c r="K63" i="1"/>
  <c r="M63" i="1" s="1"/>
  <c r="P63" i="1" s="1"/>
  <c r="L62" i="1"/>
  <c r="K62" i="1"/>
  <c r="M62" i="1" s="1"/>
  <c r="L61" i="1"/>
  <c r="K61" i="1"/>
  <c r="L60" i="1"/>
  <c r="K60" i="1"/>
  <c r="L59" i="1"/>
  <c r="K59" i="1"/>
  <c r="M59" i="1" s="1"/>
  <c r="R59" i="1" s="1"/>
  <c r="L58" i="1"/>
  <c r="K58" i="1"/>
  <c r="L57" i="1"/>
  <c r="K57" i="1"/>
  <c r="M57" i="1" s="1"/>
  <c r="L56" i="1"/>
  <c r="K56" i="1"/>
  <c r="M56" i="1" s="1"/>
  <c r="P56" i="1" s="1"/>
  <c r="L55" i="1"/>
  <c r="L54" i="1"/>
  <c r="M54" i="1" s="1"/>
  <c r="N54" i="1" s="1"/>
  <c r="L53" i="1"/>
  <c r="K53" i="1"/>
  <c r="L52" i="1"/>
  <c r="K52" i="1"/>
  <c r="M51" i="1"/>
  <c r="R51" i="1" s="1"/>
  <c r="L50" i="1"/>
  <c r="K50" i="1"/>
  <c r="M50" i="1" s="1"/>
  <c r="P50" i="1" s="1"/>
  <c r="L49" i="1"/>
  <c r="K49" i="1"/>
  <c r="M48" i="1"/>
  <c r="R48" i="1" s="1"/>
  <c r="M47" i="1"/>
  <c r="R47" i="1" s="1"/>
  <c r="T46" i="1"/>
  <c r="T87" i="1" s="1"/>
  <c r="T116" i="1" s="1"/>
  <c r="S46" i="1"/>
  <c r="S87" i="1" s="1"/>
  <c r="S116" i="1" s="1"/>
  <c r="Q46" i="1"/>
  <c r="O46" i="1"/>
  <c r="N46" i="1"/>
  <c r="N87" i="1" s="1"/>
  <c r="L46" i="1"/>
  <c r="L87" i="1" s="1"/>
  <c r="L116" i="1" s="1"/>
  <c r="K46" i="1"/>
  <c r="K87" i="1" s="1"/>
  <c r="K116" i="1" s="1"/>
  <c r="J46" i="1"/>
  <c r="J87" i="1" s="1"/>
  <c r="J116" i="1" s="1"/>
  <c r="T45" i="1"/>
  <c r="T86" i="1" s="1"/>
  <c r="S45" i="1"/>
  <c r="Q45" i="1"/>
  <c r="Q86" i="1" s="1"/>
  <c r="O45" i="1"/>
  <c r="J45" i="1"/>
  <c r="L44" i="1"/>
  <c r="M44" i="1" s="1"/>
  <c r="R44" i="1" s="1"/>
  <c r="L43" i="1"/>
  <c r="K43" i="1"/>
  <c r="M43" i="1" s="1"/>
  <c r="R43" i="1" s="1"/>
  <c r="M42" i="1"/>
  <c r="P42" i="1" s="1"/>
  <c r="L42" i="1"/>
  <c r="K42" i="1"/>
  <c r="L41" i="1"/>
  <c r="K41" i="1"/>
  <c r="M41" i="1" s="1"/>
  <c r="P41" i="1" s="1"/>
  <c r="M40" i="1"/>
  <c r="P40" i="1" s="1"/>
  <c r="K39" i="1"/>
  <c r="M39" i="1" s="1"/>
  <c r="P39" i="1" s="1"/>
  <c r="L38" i="1"/>
  <c r="K38" i="1"/>
  <c r="J38" i="1"/>
  <c r="J36" i="1" s="1"/>
  <c r="L37" i="1"/>
  <c r="K37" i="1"/>
  <c r="T36" i="1"/>
  <c r="S36" i="1"/>
  <c r="Q36" i="1"/>
  <c r="O36" i="1"/>
  <c r="N36" i="1"/>
  <c r="M32" i="1"/>
  <c r="R32" i="1" s="1"/>
  <c r="K31" i="1"/>
  <c r="M31" i="1" s="1"/>
  <c r="R31" i="1" s="1"/>
  <c r="M30" i="1"/>
  <c r="R30" i="1" s="1"/>
  <c r="M29" i="1"/>
  <c r="R29" i="1" s="1"/>
  <c r="M28" i="1"/>
  <c r="R28" i="1" s="1"/>
  <c r="L27" i="1"/>
  <c r="M27" i="1" s="1"/>
  <c r="T26" i="1"/>
  <c r="S26" i="1"/>
  <c r="O26" i="1"/>
  <c r="J26" i="1"/>
  <c r="M25" i="1"/>
  <c r="P25" i="1" s="1"/>
  <c r="M24" i="1"/>
  <c r="P24" i="1" s="1"/>
  <c r="M23" i="1"/>
  <c r="P23" i="1" s="1"/>
  <c r="M22" i="1"/>
  <c r="R22" i="1" s="1"/>
  <c r="M21" i="1"/>
  <c r="R21" i="1" s="1"/>
  <c r="M20" i="1"/>
  <c r="P20" i="1" s="1"/>
  <c r="M19" i="1"/>
  <c r="R19" i="1" s="1"/>
  <c r="T18" i="1"/>
  <c r="S18" i="1"/>
  <c r="Q18" i="1"/>
  <c r="O18" i="1"/>
  <c r="N18" i="1"/>
  <c r="L18" i="1"/>
  <c r="K18" i="1"/>
  <c r="J18" i="1"/>
  <c r="M17" i="1"/>
  <c r="P17" i="1" s="1"/>
  <c r="M16" i="1"/>
  <c r="P16" i="1" s="1"/>
  <c r="M15" i="1"/>
  <c r="N15" i="1" s="1"/>
  <c r="M14" i="1"/>
  <c r="R14" i="1" s="1"/>
  <c r="M13" i="1"/>
  <c r="P13" i="1" s="1"/>
  <c r="M12" i="1"/>
  <c r="P12" i="1" s="1"/>
  <c r="M11" i="1"/>
  <c r="P11" i="1" s="1"/>
  <c r="M10" i="1"/>
  <c r="R10" i="1" s="1"/>
  <c r="M9" i="1"/>
  <c r="N9" i="1" s="1"/>
  <c r="M8" i="1"/>
  <c r="R8" i="1" s="1"/>
  <c r="M7" i="1"/>
  <c r="P7" i="1" s="1"/>
  <c r="M6" i="1"/>
  <c r="R6" i="1" s="1"/>
  <c r="L5" i="1"/>
  <c r="L4" i="1" s="1"/>
  <c r="T4" i="1"/>
  <c r="S4" i="1"/>
  <c r="O4" i="1"/>
  <c r="K4" i="1"/>
  <c r="J4" i="1"/>
  <c r="P57" i="1" l="1"/>
  <c r="R57" i="1"/>
  <c r="M37" i="1"/>
  <c r="R37" i="1" s="1"/>
  <c r="R20" i="1"/>
  <c r="M46" i="1"/>
  <c r="M87" i="1" s="1"/>
  <c r="M116" i="1" s="1"/>
  <c r="R11" i="1"/>
  <c r="P6" i="1"/>
  <c r="O148" i="1"/>
  <c r="O147" i="1" s="1"/>
  <c r="R154" i="1"/>
  <c r="M55" i="1"/>
  <c r="R55" i="1" s="1"/>
  <c r="N159" i="1"/>
  <c r="L100" i="1"/>
  <c r="L101" i="1" s="1"/>
  <c r="O119" i="1"/>
  <c r="O168" i="1" s="1"/>
  <c r="O170" i="1" s="1"/>
  <c r="M163" i="1"/>
  <c r="R163" i="1" s="1"/>
  <c r="R46" i="1"/>
  <c r="N103" i="1"/>
  <c r="M157" i="1"/>
  <c r="R157" i="1" s="1"/>
  <c r="N75" i="1"/>
  <c r="P75" i="1" s="1"/>
  <c r="O103" i="1"/>
  <c r="M58" i="1"/>
  <c r="R58" i="1" s="1"/>
  <c r="R68" i="1"/>
  <c r="Q148" i="1"/>
  <c r="R98" i="1"/>
  <c r="K100" i="1"/>
  <c r="K101" i="1" s="1"/>
  <c r="S119" i="1"/>
  <c r="N155" i="1"/>
  <c r="P155" i="1" s="1"/>
  <c r="P135" i="1"/>
  <c r="R63" i="1"/>
  <c r="M49" i="1"/>
  <c r="R49" i="1" s="1"/>
  <c r="M60" i="1"/>
  <c r="R62" i="1"/>
  <c r="P62" i="1"/>
  <c r="R133" i="1"/>
  <c r="P69" i="1"/>
  <c r="R69" i="1"/>
  <c r="P67" i="1"/>
  <c r="R138" i="1"/>
  <c r="N77" i="1"/>
  <c r="P77" i="1" s="1"/>
  <c r="R77" i="1"/>
  <c r="R81" i="1"/>
  <c r="P81" i="1"/>
  <c r="P19" i="1"/>
  <c r="P99" i="1"/>
  <c r="P98" i="1" s="1"/>
  <c r="N67" i="1"/>
  <c r="O86" i="1"/>
  <c r="O88" i="1" s="1"/>
  <c r="M52" i="1"/>
  <c r="R52" i="1" s="1"/>
  <c r="N108" i="1"/>
  <c r="N104" i="1" s="1"/>
  <c r="R23" i="1"/>
  <c r="R164" i="1"/>
  <c r="R144" i="1"/>
  <c r="P32" i="1"/>
  <c r="N157" i="1"/>
  <c r="R7" i="1"/>
  <c r="P10" i="1"/>
  <c r="P107" i="1"/>
  <c r="R143" i="1"/>
  <c r="P14" i="1"/>
  <c r="M53" i="1"/>
  <c r="M61" i="1"/>
  <c r="R61" i="1" s="1"/>
  <c r="M91" i="1"/>
  <c r="M90" i="1" s="1"/>
  <c r="K148" i="1"/>
  <c r="K147" i="1" s="1"/>
  <c r="R139" i="1"/>
  <c r="K36" i="1"/>
  <c r="M83" i="1"/>
  <c r="R83" i="1" s="1"/>
  <c r="M109" i="1"/>
  <c r="M108" i="1" s="1"/>
  <c r="Q119" i="1"/>
  <c r="Q3" i="1"/>
  <c r="R17" i="1"/>
  <c r="R54" i="1"/>
  <c r="R108" i="1"/>
  <c r="J3" i="1"/>
  <c r="J33" i="1" s="1"/>
  <c r="J34" i="1" s="1"/>
  <c r="P136" i="1"/>
  <c r="P133" i="1" s="1"/>
  <c r="T100" i="1"/>
  <c r="T101" i="1" s="1"/>
  <c r="L113" i="1"/>
  <c r="S148" i="1"/>
  <c r="S147" i="1" s="1"/>
  <c r="S168" i="1" s="1"/>
  <c r="S170" i="1" s="1"/>
  <c r="R16" i="1"/>
  <c r="R76" i="1"/>
  <c r="M105" i="1"/>
  <c r="R105" i="1" s="1"/>
  <c r="T119" i="1"/>
  <c r="M133" i="1"/>
  <c r="N145" i="1"/>
  <c r="R15" i="1"/>
  <c r="R42" i="1"/>
  <c r="S3" i="1"/>
  <c r="S33" i="1" s="1"/>
  <c r="S34" i="1" s="1"/>
  <c r="P28" i="1"/>
  <c r="R92" i="1"/>
  <c r="R41" i="1"/>
  <c r="R71" i="1"/>
  <c r="M127" i="1"/>
  <c r="R127" i="1" s="1"/>
  <c r="R13" i="1"/>
  <c r="R70" i="1"/>
  <c r="R50" i="1"/>
  <c r="P29" i="1"/>
  <c r="J148" i="1"/>
  <c r="J147" i="1" s="1"/>
  <c r="N153" i="1"/>
  <c r="N151" i="1" s="1"/>
  <c r="M5" i="1"/>
  <c r="R5" i="1" s="1"/>
  <c r="R12" i="1"/>
  <c r="R39" i="1"/>
  <c r="P128" i="1"/>
  <c r="P127" i="1" s="1"/>
  <c r="R67" i="1"/>
  <c r="L148" i="1"/>
  <c r="L147" i="1" s="1"/>
  <c r="R9" i="1"/>
  <c r="J86" i="1"/>
  <c r="J88" i="1" s="1"/>
  <c r="S103" i="1"/>
  <c r="K119" i="1"/>
  <c r="R24" i="1"/>
  <c r="R125" i="1"/>
  <c r="N160" i="1"/>
  <c r="P159" i="1"/>
  <c r="N149" i="1"/>
  <c r="P152" i="1"/>
  <c r="N142" i="1"/>
  <c r="N119" i="1" s="1"/>
  <c r="Q90" i="1"/>
  <c r="P156" i="1"/>
  <c r="N154" i="1"/>
  <c r="N85" i="1"/>
  <c r="N4" i="1"/>
  <c r="N3" i="1" s="1"/>
  <c r="P15" i="1"/>
  <c r="P31" i="1"/>
  <c r="P44" i="1"/>
  <c r="P49" i="1"/>
  <c r="J113" i="1"/>
  <c r="P54" i="1"/>
  <c r="P83" i="1"/>
  <c r="M38" i="1"/>
  <c r="R38" i="1" s="1"/>
  <c r="K45" i="1"/>
  <c r="K86" i="1" s="1"/>
  <c r="K88" i="1" s="1"/>
  <c r="K113" i="1"/>
  <c r="O113" i="1"/>
  <c r="P161" i="1"/>
  <c r="P30" i="1"/>
  <c r="P48" i="1"/>
  <c r="P51" i="1"/>
  <c r="P74" i="1"/>
  <c r="P79" i="1"/>
  <c r="P84" i="1"/>
  <c r="T88" i="1"/>
  <c r="Q103" i="1"/>
  <c r="Q111" i="1"/>
  <c r="T113" i="1"/>
  <c r="J119" i="1"/>
  <c r="M138" i="1"/>
  <c r="M160" i="1"/>
  <c r="R160" i="1" s="1"/>
  <c r="M18" i="1"/>
  <c r="R18" i="1" s="1"/>
  <c r="P21" i="1"/>
  <c r="T3" i="1"/>
  <c r="T33" i="1" s="1"/>
  <c r="T34" i="1" s="1"/>
  <c r="M26" i="1"/>
  <c r="R26" i="1" s="1"/>
  <c r="P43" i="1"/>
  <c r="Q93" i="1"/>
  <c r="M142" i="1"/>
  <c r="R142" i="1" s="1"/>
  <c r="P145" i="1"/>
  <c r="P142" i="1" s="1"/>
  <c r="Q147" i="1"/>
  <c r="Q168" i="1" s="1"/>
  <c r="P47" i="1"/>
  <c r="K26" i="1"/>
  <c r="K3" i="1" s="1"/>
  <c r="K33" i="1" s="1"/>
  <c r="K34" i="1" s="1"/>
  <c r="P27" i="1"/>
  <c r="L45" i="1"/>
  <c r="P82" i="1"/>
  <c r="Q88" i="1"/>
  <c r="O100" i="1"/>
  <c r="O101" i="1" s="1"/>
  <c r="S113" i="1"/>
  <c r="L168" i="1"/>
  <c r="L170" i="1" s="1"/>
  <c r="T148" i="1"/>
  <c r="T147" i="1" s="1"/>
  <c r="M151" i="1"/>
  <c r="R151" i="1" s="1"/>
  <c r="P22" i="1"/>
  <c r="O3" i="1"/>
  <c r="O33" i="1" s="1"/>
  <c r="O34" i="1" s="1"/>
  <c r="P8" i="1"/>
  <c r="P18" i="1"/>
  <c r="L26" i="1"/>
  <c r="L3" i="1" s="1"/>
  <c r="L33" i="1" s="1"/>
  <c r="L34" i="1" s="1"/>
  <c r="L36" i="1"/>
  <c r="S86" i="1"/>
  <c r="S88" i="1" s="1"/>
  <c r="P52" i="1"/>
  <c r="M64" i="1"/>
  <c r="R64" i="1" s="1"/>
  <c r="M95" i="1"/>
  <c r="R95" i="1" s="1"/>
  <c r="J94" i="1"/>
  <c r="Q112" i="1"/>
  <c r="R112" i="1" s="1"/>
  <c r="P9" i="1"/>
  <c r="P59" i="1"/>
  <c r="P72" i="1"/>
  <c r="S100" i="1"/>
  <c r="S101" i="1" s="1"/>
  <c r="P106" i="1"/>
  <c r="P123" i="1"/>
  <c r="Q120" i="1"/>
  <c r="M134" i="1"/>
  <c r="M120" i="1" s="1"/>
  <c r="M169" i="1" s="1"/>
  <c r="P137" i="1"/>
  <c r="P134" i="1" s="1"/>
  <c r="P120" i="1" s="1"/>
  <c r="P169" i="1" s="1"/>
  <c r="P157" i="1"/>
  <c r="P37" i="1"/>
  <c r="P66" i="1"/>
  <c r="P73" i="1"/>
  <c r="P46" i="1" s="1"/>
  <c r="P87" i="1" s="1"/>
  <c r="P116" i="1" s="1"/>
  <c r="P78" i="1"/>
  <c r="Q116" i="1"/>
  <c r="R116" i="1" s="1"/>
  <c r="R87" i="1"/>
  <c r="P95" i="1"/>
  <c r="P94" i="1" s="1"/>
  <c r="P93" i="1" s="1"/>
  <c r="M129" i="1"/>
  <c r="R129" i="1" s="1"/>
  <c r="T103" i="1"/>
  <c r="P122" i="1"/>
  <c r="P121" i="1" s="1"/>
  <c r="P130" i="1"/>
  <c r="P129" i="1" s="1"/>
  <c r="P162" i="1"/>
  <c r="M121" i="1"/>
  <c r="R121" i="1" s="1"/>
  <c r="P165" i="1"/>
  <c r="P163" i="1" s="1"/>
  <c r="M123" i="1"/>
  <c r="R123" i="1" s="1"/>
  <c r="R60" i="1" l="1"/>
  <c r="P60" i="1"/>
  <c r="P154" i="1"/>
  <c r="P58" i="1"/>
  <c r="M36" i="1"/>
  <c r="R36" i="1" s="1"/>
  <c r="K168" i="1"/>
  <c r="K170" i="1" s="1"/>
  <c r="N55" i="1"/>
  <c r="R134" i="1"/>
  <c r="P109" i="1"/>
  <c r="P100" i="1"/>
  <c r="P101" i="1" s="1"/>
  <c r="R120" i="1"/>
  <c r="J168" i="1"/>
  <c r="J170" i="1" s="1"/>
  <c r="M103" i="1"/>
  <c r="M111" i="1" s="1"/>
  <c r="R111" i="1" s="1"/>
  <c r="P105" i="1"/>
  <c r="P153" i="1"/>
  <c r="P151" i="1" s="1"/>
  <c r="T168" i="1"/>
  <c r="T170" i="1" s="1"/>
  <c r="T171" i="1" s="1"/>
  <c r="P26" i="1"/>
  <c r="R103" i="1"/>
  <c r="P108" i="1"/>
  <c r="P104" i="1" s="1"/>
  <c r="P112" i="1" s="1"/>
  <c r="P115" i="1" s="1"/>
  <c r="M104" i="1"/>
  <c r="M112" i="1" s="1"/>
  <c r="M115" i="1" s="1"/>
  <c r="R90" i="1"/>
  <c r="P53" i="1"/>
  <c r="R53" i="1"/>
  <c r="T114" i="1"/>
  <c r="T117" i="1" s="1"/>
  <c r="Q33" i="1"/>
  <c r="P61" i="1"/>
  <c r="R91" i="1"/>
  <c r="N148" i="1"/>
  <c r="N147" i="1" s="1"/>
  <c r="N168" i="1" s="1"/>
  <c r="N170" i="1" s="1"/>
  <c r="N171" i="1" s="1"/>
  <c r="N33" i="1"/>
  <c r="P85" i="1"/>
  <c r="P55" i="1"/>
  <c r="N45" i="1"/>
  <c r="N86" i="1" s="1"/>
  <c r="O114" i="1"/>
  <c r="O117" i="1" s="1"/>
  <c r="O171" i="1" s="1"/>
  <c r="P119" i="1"/>
  <c r="J93" i="1"/>
  <c r="M94" i="1"/>
  <c r="R94" i="1" s="1"/>
  <c r="P5" i="1"/>
  <c r="P4" i="1" s="1"/>
  <c r="P3" i="1" s="1"/>
  <c r="P33" i="1" s="1"/>
  <c r="P34" i="1" s="1"/>
  <c r="M4" i="1"/>
  <c r="P160" i="1"/>
  <c r="K114" i="1"/>
  <c r="K117" i="1" s="1"/>
  <c r="K171" i="1" s="1"/>
  <c r="Q100" i="1"/>
  <c r="Q113" i="1"/>
  <c r="Q169" i="1"/>
  <c r="R169" i="1" s="1"/>
  <c r="P64" i="1"/>
  <c r="M45" i="1"/>
  <c r="L86" i="1"/>
  <c r="P38" i="1"/>
  <c r="P36" i="1" s="1"/>
  <c r="Q115" i="1"/>
  <c r="R115" i="1" s="1"/>
  <c r="M119" i="1"/>
  <c r="R119" i="1" s="1"/>
  <c r="M148" i="1"/>
  <c r="R148" i="1" s="1"/>
  <c r="S114" i="1"/>
  <c r="S117" i="1" s="1"/>
  <c r="S171" i="1" s="1"/>
  <c r="P148" i="1" l="1"/>
  <c r="P147" i="1" s="1"/>
  <c r="P168" i="1" s="1"/>
  <c r="P170" i="1" s="1"/>
  <c r="P45" i="1"/>
  <c r="P86" i="1" s="1"/>
  <c r="P88" i="1" s="1"/>
  <c r="P103" i="1"/>
  <c r="P111" i="1"/>
  <c r="P113" i="1" s="1"/>
  <c r="Q101" i="1"/>
  <c r="Q34" i="1"/>
  <c r="M3" i="1"/>
  <c r="R3" i="1" s="1"/>
  <c r="R4" i="1"/>
  <c r="M113" i="1"/>
  <c r="R113" i="1"/>
  <c r="Q114" i="1"/>
  <c r="Q117" i="1" s="1"/>
  <c r="M86" i="1"/>
  <c r="R86" i="1" s="1"/>
  <c r="R45" i="1"/>
  <c r="M147" i="1"/>
  <c r="R147" i="1" s="1"/>
  <c r="Q170" i="1"/>
  <c r="J100" i="1"/>
  <c r="M93" i="1"/>
  <c r="L88" i="1"/>
  <c r="L114" i="1"/>
  <c r="L117" i="1" s="1"/>
  <c r="L171" i="1" s="1"/>
  <c r="L176" i="1" s="1"/>
  <c r="P114" i="1" l="1"/>
  <c r="P117" i="1" s="1"/>
  <c r="P171" i="1"/>
  <c r="M100" i="1"/>
  <c r="R93" i="1"/>
  <c r="J101" i="1"/>
  <c r="J114" i="1"/>
  <c r="J117" i="1" s="1"/>
  <c r="J171" i="1" s="1"/>
  <c r="J175" i="1" s="1"/>
  <c r="Q171" i="1"/>
  <c r="M33" i="1"/>
  <c r="R33" i="1" s="1"/>
  <c r="K175" i="1"/>
  <c r="M88" i="1"/>
  <c r="R88" i="1" s="1"/>
  <c r="M168" i="1"/>
  <c r="R168" i="1" s="1"/>
  <c r="M101" i="1" l="1"/>
  <c r="R101" i="1" s="1"/>
  <c r="R100" i="1"/>
  <c r="M34" i="1"/>
  <c r="R34" i="1" s="1"/>
  <c r="M170" i="1"/>
  <c r="R170" i="1" s="1"/>
  <c r="M114" i="1"/>
  <c r="R114" i="1" s="1"/>
  <c r="M117" i="1" l="1"/>
  <c r="R117" i="1" s="1"/>
  <c r="M171" i="1" l="1"/>
  <c r="R171" i="1" s="1"/>
</calcChain>
</file>

<file path=xl/sharedStrings.xml><?xml version="1.0" encoding="utf-8"?>
<sst xmlns="http://schemas.openxmlformats.org/spreadsheetml/2006/main" count="1172" uniqueCount="231">
  <si>
    <t>RUBRO</t>
  </si>
  <si>
    <t>CONCEPTO</t>
  </si>
  <si>
    <t>FUENTE</t>
  </si>
  <si>
    <t>REC.</t>
  </si>
  <si>
    <t>APROPIA. INICIAL</t>
  </si>
  <si>
    <t>APR. ADICIONADA</t>
  </si>
  <si>
    <t>APR. REDUCIDA</t>
  </si>
  <si>
    <t>APROPIACION VIGENTE</t>
  </si>
  <si>
    <t>APROP. BLOQUEADA</t>
  </si>
  <si>
    <t>CDP</t>
  </si>
  <si>
    <t>APROPIACION
DISPONIBLE</t>
  </si>
  <si>
    <t xml:space="preserve">COMPROMISO </t>
  </si>
  <si>
    <t>% EJE</t>
  </si>
  <si>
    <t xml:space="preserve">OBLIGACIONES </t>
  </si>
  <si>
    <t>PAGOS</t>
  </si>
  <si>
    <t>A01- GASTOS DE PERSONAL</t>
  </si>
  <si>
    <t>A</t>
  </si>
  <si>
    <t>01</t>
  </si>
  <si>
    <t>PLANTA DE PERSONAL PERMANENTE</t>
  </si>
  <si>
    <t>Nación</t>
  </si>
  <si>
    <t>SALARIO</t>
  </si>
  <si>
    <t>10</t>
  </si>
  <si>
    <t>001</t>
  </si>
  <si>
    <t>SUELDO BÁSICO</t>
  </si>
  <si>
    <t>002</t>
  </si>
  <si>
    <t>GASTOS DE REPRESENTACIÓN</t>
  </si>
  <si>
    <t>003</t>
  </si>
  <si>
    <t>PRIMA TÉCNICA SALARIAL</t>
  </si>
  <si>
    <t>004</t>
  </si>
  <si>
    <t>SUBSIDIO DE ALIMENTACIÓN</t>
  </si>
  <si>
    <t>005</t>
  </si>
  <si>
    <t>AUXILIO DE TRANSPORTE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</si>
  <si>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</si>
  <si>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</si>
  <si>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</si>
  <si>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</si>
  <si>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</si>
  <si>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</si>
  <si>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</si>
  <si>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</si>
  <si>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</si>
  <si>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</si>
  <si>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AUXILIO ESPECIAL DE TRANSPORTE</t>
  </si>
  <si>
    <t>011</t>
  </si>
  <si>
    <t>BONIFICACIÓN POR COMPENSACIÓN</t>
  </si>
  <si>
    <t>017</t>
  </si>
  <si>
    <t>PRIMA DE PRODUCTIVIDAD</t>
  </si>
  <si>
    <t>02</t>
  </si>
  <si>
    <t>CONTRIBUCIONES INHERENTES A LA NÓMINA</t>
  </si>
  <si>
    <t>APORTES A LA SEGURIDAD SOCIAL EN PENSIONES</t>
  </si>
  <si>
    <t>APORTES A LA SEGURIDAD SOCIAL EN SALUD</t>
  </si>
  <si>
    <t xml:space="preserve">AUXILIO DE CESANTÍAS </t>
  </si>
  <si>
    <t>APORTES A CAJAS DE COMPENSACIÓN FAMILIAR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</si>
  <si>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</si>
  <si>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</si>
  <si>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</si>
  <si>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</si>
  <si>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</si>
  <si>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VACACIONES</t>
  </si>
  <si>
    <t>INDEMNIZACIÓN POR VACACIONES</t>
  </si>
  <si>
    <t>BONIFICACIÓN ESPECIAL DE RECREACIÓN</t>
  </si>
  <si>
    <t>PRIMA TÉCNICA NO SALARIAL</t>
  </si>
  <si>
    <t>016</t>
  </si>
  <si>
    <t>PRIMA DE COORDINACIÓN</t>
  </si>
  <si>
    <t>030</t>
  </si>
  <si>
    <t>BONIFICACIÓN DE DIRECCIÓN</t>
  </si>
  <si>
    <t>GASTOS DE PERSONAL</t>
  </si>
  <si>
    <t>TOTAL GASTOS DE PERSONAL</t>
  </si>
  <si>
    <t xml:space="preserve">A02-ADQUISICION DE BIENES Y SERVICIOS </t>
  </si>
  <si>
    <t>ADQUISICION DE ACTIVOS NO FINANCIEROS</t>
  </si>
  <si>
    <t>MUEBLES, INSTRUMENTOS MUSICALES, ARTÍCULOS DE DEPORTE Y ANTIGÜEDADES</t>
  </si>
  <si>
    <t>MAQUINARIA PARA USO GENERAL</t>
  </si>
  <si>
    <t>MAQUINARIA PARA USOS ESPECIALES</t>
  </si>
  <si>
    <t>MAQUINARIA DE OFICINA, CONTABILIDAD E INFORMÁTICA</t>
  </si>
  <si>
    <t>MAQUINARIA Y APARATOS ELÉCTRICOS</t>
  </si>
  <si>
    <t>EQUIPO Y APARATOS DE RADIO, TELEVISIÓN Y COMUNICACIONES</t>
  </si>
  <si>
    <t>APARATOS MÉDICOS, INSTRUMENTOS ÓPTICOS Y DE PRECISIÓN, RELOJES</t>
  </si>
  <si>
    <t>EQUIPO DE TRANSPORTE</t>
  </si>
  <si>
    <t>ADQUISICIONES DIFERENTES DE ACTIVOS</t>
  </si>
  <si>
    <t>Propios</t>
  </si>
  <si>
    <t>PIEDRA, ARENA Y ARCILLA</t>
  </si>
  <si>
    <t>OTROS MINERALES</t>
  </si>
  <si>
    <t>ARTICULOS TEXTILES (EXCEPTO PRENDAS DE VESTIR)</t>
  </si>
  <si>
    <t>DOTACIÓN (PRENDAS DE VESTIR Y CALZADO)</t>
  </si>
  <si>
    <t>PRODUCTOS DE MADERA, CORCHO, CESTERÍA Y ESPARTERÍA</t>
  </si>
  <si>
    <t>PASTA O PULPA, PAPEL Y PRODUCTOS DE PAPEL; IMPRESOS Y ARTÍCULOS SIMILARES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</si>
  <si>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</si>
  <si>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</si>
  <si>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</si>
  <si>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</si>
  <si>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</si>
  <si>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</si>
  <si>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</si>
  <si>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</si>
  <si>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</si>
  <si>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</si>
  <si>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</si>
  <si>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</si>
  <si>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</si>
  <si>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</si>
  <si>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20</t>
  </si>
  <si>
    <t>SERVICIOS FINANCIEROS Y SERVICIOS CONEXOS</t>
  </si>
  <si>
    <t>SERVICIOS INMOBILIARIOS</t>
  </si>
  <si>
    <t>SERVICIOS JURÍDICOS Y CONTABLES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</si>
  <si>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</si>
  <si>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</si>
  <si>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</si>
  <si>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</si>
  <si>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</si>
  <si>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</si>
  <si>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</si>
  <si>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VIÁTICOS DE LOS FUNCIONARIOS EN COMISIÓN</t>
  </si>
  <si>
    <t xml:space="preserve">ADQUISICION DE BIENES Y SERVICIOS </t>
  </si>
  <si>
    <t>TOTAL ADQUISICION DE BIENES Y SERVICIOS</t>
  </si>
  <si>
    <t>A03-TRANSFERENCIAS CORRIENTES</t>
  </si>
  <si>
    <t>A ENTIDADES DEL GOBIERNO</t>
  </si>
  <si>
    <t>A ORGANOS DEL PGN</t>
  </si>
  <si>
    <t>066</t>
  </si>
  <si>
    <t>CONGRESO DE MEDICINA LEGAL Y CIENCIAS FORENSES</t>
  </si>
  <si>
    <t>04</t>
  </si>
  <si>
    <t>PRESTACIONES PARA CUBRIR RIESGOS SOCIALES</t>
  </si>
  <si>
    <t>PRESTACIONES SOCIALES RELACIONADAS CON EL EMPLEO</t>
  </si>
  <si>
    <t>012</t>
  </si>
  <si>
    <t>INCAPACIDADES Y LICENCIAS DE MATERNIDAD Y PATERNIDAD(NO DE PENSIONES)</t>
  </si>
  <si>
    <t>INCAPACIDADES (NO DE PENSIONES)</t>
  </si>
  <si>
    <t>LICENCIAS DE MATERNIDAD Y PATERNIDAD (NO DE PENSIONES)</t>
  </si>
  <si>
    <t>SENTENCIAS Y CONCILIACIONES</t>
  </si>
  <si>
    <t>TRANSFERENCIAS CORRIENTES</t>
  </si>
  <si>
    <t>TOTAL TRANSFERENCIAS</t>
  </si>
  <si>
    <t xml:space="preserve"> A08-GASTOS POR TRIBUTOS , MULTAS SANCIONES E INTERESES DE MORA</t>
  </si>
  <si>
    <t>08</t>
  </si>
  <si>
    <t>GASTOS  POR  TRIBUTOS MULTAS SANCIONES E INTERESES DE MORA</t>
  </si>
  <si>
    <t>IMPUESTOS</t>
  </si>
  <si>
    <t>IMPUESTO PREDIAL Y SOBRETASA AMBIENTAL</t>
  </si>
  <si>
    <t>IMPUESTO SOBRE VEHÍCULOS AUTOMOTORES</t>
  </si>
  <si>
    <t>CONTRIBUCIONES</t>
  </si>
  <si>
    <t>CUOTA DE FISCALIZACIÓN Y AUDITAJE</t>
  </si>
  <si>
    <t>GASTOS POR TRIBUTOS MULTAS, SANCIONES E INTERESES DE MORA</t>
  </si>
  <si>
    <t>TOTAL GASTOS POR TRIBUTOS MULTAS SANCIONES E INTERESES DE MORA</t>
  </si>
  <si>
    <t>FUNCIONAMIENTO</t>
  </si>
  <si>
    <t>TOTAL FUNCIONAMIENTO</t>
  </si>
  <si>
    <t>C - INVERSIÓN</t>
  </si>
  <si>
    <t>C</t>
  </si>
  <si>
    <t>EFECTIVIDAD DE LA INVESTIGACION PENAL Y TECNICO CIENTIFICA</t>
  </si>
  <si>
    <t>2901</t>
  </si>
  <si>
    <t>0800</t>
  </si>
  <si>
    <t>9</t>
  </si>
  <si>
    <t>FORTALECIMIENTO DE LA CAPACIDAD Y CALIDAD CIENTÍFICA DE LOS ENSAYOS REALIZADOS EN LOS LABORATORIOS FORENSES  NACIONAL</t>
  </si>
  <si>
    <t>20111D</t>
  </si>
  <si>
    <t>2901002</t>
  </si>
  <si>
    <t>ADQUIS. DE BYS - SERVICIOS DE LABORATORIO FORENSE - FORTALECIMIENTO DE LA CAPACIDAD Y CALIDAD CIENTÍFICA DE LOS ENSAYOS REALIZADOS EN LOS LABORATORIOS FORENSES  NACIONAL</t>
  </si>
  <si>
    <t>11</t>
  </si>
  <si>
    <t>MEJORAMIENTO DE LA CAPACIDAD EN EL DESARROLLO DE LA BÚSQUEDA E IDENTIFICACIÓN DE PERSONAS DESAPARECIDAS, ENFOQUE DIFERENCIAL Y ATENCIÓN PSICOSOCIAL A VÍCTIMAS EN EL NIVEL  NACIONAL</t>
  </si>
  <si>
    <t>20109C</t>
  </si>
  <si>
    <t>2901008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</si>
  <si>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</si>
  <si>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>2901020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</si>
  <si>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</si>
  <si>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>2901021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</si>
  <si>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</si>
  <si>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12</t>
  </si>
  <si>
    <t>MEJORAMIENTO DE LA CAPACIDAD DE ANÁLISIS EN PRUEBAS DE ADN A NIVEL  NACIONAL</t>
  </si>
  <si>
    <t>2901007</t>
  </si>
  <si>
    <t>ADQUIS. DE BYS - SERVICIOS DE GENÉTICA FORENSE - MEJORAMIENTO DE LA CAPACIDAD DE ANÁLISIS EN PRUEBAS DE ADN A NIVEL  NACIONAL</t>
  </si>
  <si>
    <t>13</t>
  </si>
  <si>
    <t>FORTALECIMIENTO DE PROCEDIMIENTOS EN LA INVESTIGACIÓN MÉDICO LEGAL DE VIOLACIÓN DE LOS DERECHOS HUMANOS Y EL DERECHO INTERNACIONAL HUMANITARIO A NIVEL  NACIONAL</t>
  </si>
  <si>
    <t>20113A</t>
  </si>
  <si>
    <t>2901013</t>
  </si>
  <si>
    <t>ADQUIS. DE BYS - SERVICIO DE RECUPERACIÓN DE CADAVERES - FORTALECIMIENTO DE PROCEDIMIENTOS EN LA INVESTIGACIÓN MÉDICO LEGAL DE VIOLACIÓN DE LOS DERECHOS HUMANOS Y EL DERECHO INTERNACIONAL HUMANITARIO A NIVEL  NACIONAL</t>
  </si>
  <si>
    <t>2901014</t>
  </si>
  <si>
    <t>ADQUIS. DE BYS - SERVICIO DE IDENTIFICACIÓN DE CADAVERES - FORTALECIMIENTO DE PROCEDIMIENTOS EN LA INVESTIGACIÓN MÉDICO LEGAL DE VIOLACIÓN DE LOS DERECHOS HUMANOS Y EL DERECHO INTERNACIONAL HUMANITARIO A NIVEL  NACIONAL</t>
  </si>
  <si>
    <t>2901024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</si>
  <si>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</si>
  <si>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14</t>
  </si>
  <si>
    <t>MEJORAMIENTO DE LOS PROCEDIMIENTOS Y DE LA CAPACIDAD DE RESPUESTA EN LOS SERVICIOS DE PATOLOGÍA FORENSE A NIVEL  NACIONAL</t>
  </si>
  <si>
    <t>2901006</t>
  </si>
  <si>
    <t>ADQUIS. DE BYS - SERVICIO DE INVESTIGACIÓN PENAL, CRIMINALÍSTICA Y MEDICINA LEGAL - MEJORAMIENTO DE LOS PROCEDIMIENTOS Y DE LA CAPACIDAD DE RESPUESTA EN LOS SERVICIOS DE PATOLOGÍA FORENSE A NIVEL  NACIONAL</t>
  </si>
  <si>
    <t>2901010</t>
  </si>
  <si>
    <t>ADQUIS. DE BYS - SALAS DE NECROPSIA DOTADAS - MEJORAMIENTO DE LOS PROCEDIMIENTOS Y DE LA CAPACIDAD DE RESPUESTA EN LOS SERVICIOS DE PATOLOGÍA FORENSE A NIVEL  NACIONAL</t>
  </si>
  <si>
    <t>15</t>
  </si>
  <si>
    <t>FORTALECIMIENTO DEL CONOCIMIENTO CIENTÍFICO FORENSE EN EL INSTITUTO NACIONAL DE MEDICINA LEGAL Y CIENCIAS FORENSES  NACIONAL</t>
  </si>
  <si>
    <t>2901016</t>
  </si>
  <si>
    <t>ADQUIS. DE BYS - SERVICIO DE ASISTENCIA TÉCNICA PARA LA FORMULACIÓN DE PROYECTOS.  - FORTALECIMIENTO DEL CONOCIMIENTO CIENTÍFICO FORENSE EN EL INSTITUTO NACIONAL DE MEDICINA LEGAL Y CIENCIAS FORENSES  NACIONAL</t>
  </si>
  <si>
    <t>2901022</t>
  </si>
  <si>
    <t>ADQUIS. DE BYS - SERVICIO DE EDUCACIÓN INFORMAL - FORTALECIMIENTO DEL CONOCIMIENTO CIENTÍFICO FORENSE EN EL INSTITUTO NACIONAL DE MEDICINA LEGAL Y CIENCIAS FORENSES  NACIONAL</t>
  </si>
  <si>
    <t>2901023</t>
  </si>
  <si>
    <t>ADQUIS. DE BYS - DOCUMENTO DE INVESTIGACIÓN - FORTALECIMIENTO DEL CONOCIMIENTO CIENTÍFICO FORENSE EN EL INSTITUTO NACIONAL DE MEDICINA LEGAL Y CIENCIAS FORENSES  NACIONAL</t>
  </si>
  <si>
    <t xml:space="preserve"> FORTALECIMIENTO DEL INSTITUTO NACIONAL DE MEDICINA LEGAL Y CIENCIAS FORENSES EN ATENCIÓN A LOS RETOS DEL POSCONFLICTO A NIVEL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</si>
  <si>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</si>
  <si>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</si>
  <si>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</si>
  <si>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</si>
  <si>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FORTALECIMIENTO Y APOYO A LA GESTION INSTITUCIONAL DEL SECTOR FISCALIA</t>
  </si>
  <si>
    <t>2999</t>
  </si>
  <si>
    <t>INTERSUBSECTORIAL JUSTICIA</t>
  </si>
  <si>
    <t>CONSOLIDACIÓN DEL SISTEMA DE GESTIÓN DOCUMENTAL DEL INSTITUTO NACIONAL DE MEDICINA LEGAL Y CIENCIAS FORENSES  NACIONAL</t>
  </si>
  <si>
    <t>53105B</t>
  </si>
  <si>
    <t>2999055</t>
  </si>
  <si>
    <t>ADQUIS. DE BYS - SERVICIO DE GESTIÓN DOCUMENTAL - 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</si>
  <si>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</si>
  <si>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2999065</t>
  </si>
  <si>
    <t>ADQUIS. DE BYS - SERVICIOS DE INFORMACIÓN IMPLEMENTADOS - FORTALECIMIENTO Y SOSTENIBILIDAD DE LA ARQUITECTURA DE TECNOLOGÍAS DE INFORMACIÓN DEL INSTITUTO BASADOS EN LA POLÍTICA DE GOBIERNO DIGITAL NACIONAL  NACIONAL</t>
  </si>
  <si>
    <t>2999067</t>
  </si>
  <si>
    <t>ADQUIS. DE BYS - SERVICIOS TECNOLÓGICOS - 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</si>
  <si>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</si>
  <si>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2999016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</si>
  <si>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</si>
  <si>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</si>
  <si>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19</t>
  </si>
  <si>
    <t>MEJORAMIENTO DEL PARQUE AUTOMOTOR DEL INSTITUTO NACIONAL DE MEDICINA LEGAL Y CIENCIAS FORENSES A NIVEL  NACIONAL</t>
  </si>
  <si>
    <t>ADQUIS. DE BYS - SEDES ADECUADAS - MEJORAMIENTO DEL PARQUE AUTOMOTOR DEL INSTITUTO NACIONAL DE MEDICINA LEGAL Y CIENCIAS FORENSES A NIVEL  NACIONAL</t>
  </si>
  <si>
    <t>ADQUIS. DE BYS - SEDES MANTENIDAS - MEJORAMIENTO DEL PARQUE AUTOMOTOR DEL INSTITUTO NACIONAL DE MEDICINA LEGAL Y CIENCIAS FORENSES A NIVEL  NACIONAL</t>
  </si>
  <si>
    <t>23</t>
  </si>
  <si>
    <t>DESARROLLO DE LA GESTIÓN AMBIENTAL INTEGRAL EN LAS SEDES DEL INSTITUTO NACIONAL DE MEDICINA LEGAL Y CIENCIAS FORENSES  NACIONAL</t>
  </si>
  <si>
    <t>2999011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</si>
  <si>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</si>
  <si>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</si>
  <si>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</si>
  <si>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</si>
  <si>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</si>
  <si>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CONSTRUIDA Y DOTADA - CONSTRUCCIÓN  Y DOTACIÓN DE LA SEDE DE MEDICINA LEGAL Y CIENCIAS FORENSES  SOACHA</t>
  </si>
  <si>
    <t>53105D</t>
  </si>
  <si>
    <t>ADQUIS. DE BYS - SEDE CONSTRUIDA Y DOTADA - CONSTRUCCIÓN  Y DOTACIÓN DE LA SEDE DE MEDICINA LEGAL Y CIENCIAS FORENSES  SOACHA</t>
  </si>
  <si>
    <t>INVERSION</t>
  </si>
  <si>
    <t>TOTAL INVERSIÓN</t>
  </si>
  <si>
    <t>TOTAL INSTITUTO</t>
  </si>
  <si>
    <t>Fuente:  Grupo Nacional de Gestión Presupuestal-SIIF</t>
  </si>
  <si>
    <t>Elaboro: Martha C. Florez Giraldo - Prof. Univ. Grupo Nacional de Gestión Presupuestal</t>
  </si>
  <si>
    <t xml:space="preserve">Reviso: Cesar Augusto Acuña Reyes- coordinador- Grupo Nacional de Gestión Presupuestal </t>
  </si>
  <si>
    <t>Fecha:Septiembre-07-2026</t>
  </si>
  <si>
    <r>
      <t xml:space="preserve">Nota: </t>
    </r>
    <r>
      <rPr>
        <sz val="10"/>
        <rFont val="Arial Narrow"/>
        <family val="2"/>
      </rPr>
      <t xml:space="preserve">El 20 de Agosto el Ministerio de Hacienda y Creditó Público en el sistema SIIF NACION efectuó </t>
    </r>
    <r>
      <rPr>
        <b/>
        <sz val="10"/>
        <rFont val="Arial Narrow"/>
        <family val="2"/>
      </rPr>
      <t>bloqueo de recursos</t>
    </r>
    <r>
      <rPr>
        <sz val="10"/>
        <rFont val="Arial Narrow"/>
        <family val="2"/>
      </rPr>
      <t xml:space="preserve"> en apropiaciones por la suma de $12.671.395.070,41 y en Certificados de Disponibilidad Presupuestal por la suma de $6.310.719.190 para un total de $18.982.114.260 en el componente de Inversión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</si>
</sst>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_-* #,##0.00_-;\-* #,##0.00_-;_-* \-??_-;_-@_-"/>
    <numFmt numFmtId="166" formatCode="_-&quot;$ &quot;* #,##0.00_-;&quot;-$ &quot;* #,##0.00_-;_-&quot;$ &quot;* \-??_-;_-@_-"/>
    <numFmt numFmtId="167" formatCode="_ * #,##0_ ;_ * \-#,##0_ ;_ * \-??_ ;_ @_ "/>
  </numFmts>
  <fonts count="31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b/>
      <sz val="7"/>
      <name val="Arial Narrow"/>
      <family val="2"/>
      <charset val="1"/>
    </font>
    <font>
      <b/>
      <sz val="8"/>
      <name val="Arial Narrow"/>
      <family val="2"/>
      <charset val="1"/>
    </font>
    <font>
      <sz val="8"/>
      <name val="Arial Narrow"/>
      <family val="2"/>
      <charset val="1"/>
    </font>
    <font>
      <b/>
      <sz val="6"/>
      <color rgb="FF000000"/>
      <name val="Arial Narrow"/>
      <family val="2"/>
      <charset val="1"/>
    </font>
    <font>
      <b/>
      <sz val="5"/>
      <color rgb="FF000000"/>
      <name val="Arial Narrow"/>
      <family val="2"/>
      <charset val="1"/>
    </font>
    <font>
      <b/>
      <sz val="6"/>
      <name val="Arial Narrow"/>
      <family val="2"/>
      <charset val="1"/>
    </font>
    <font>
      <sz val="6"/>
      <color rgb="FF000000"/>
      <name val="Arial Narrow"/>
      <family val="2"/>
      <charset val="1"/>
    </font>
    <font>
      <sz val="5"/>
      <color rgb="FF000000"/>
      <name val="Arial Narrow"/>
      <family val="2"/>
      <charset val="1"/>
    </font>
    <font>
      <sz val="6"/>
      <name val="Arial Narrow"/>
      <family val="2"/>
      <charset val="1"/>
    </font>
    <font>
      <b/>
      <sz val="5"/>
      <name val="Arial Narrow"/>
      <family val="2"/>
      <charset val="1"/>
    </font>
    <font>
      <b/>
      <sz val="11"/>
      <name val="Calibri"/>
      <family val="2"/>
      <charset val="1"/>
    </font>
    <font>
      <sz val="6"/>
      <color rgb="FFFF0000"/>
      <name val="Arial Narrow"/>
      <family val="2"/>
      <charset val="1"/>
    </font>
    <font>
      <b/>
      <sz val="8"/>
      <color rgb="FF000000"/>
      <name val="Times New Roman"/>
      <family val="1"/>
      <charset val="1"/>
    </font>
    <font>
      <sz val="5"/>
      <name val="Arial Narrow"/>
      <family val="2"/>
      <charset val="1"/>
    </font>
    <font>
      <sz val="6"/>
      <color theme="1"/>
      <name val="Arial Narrow"/>
      <family val="2"/>
      <charset val="1"/>
    </font>
    <font>
      <sz val="5"/>
      <color theme="1"/>
      <name val="Arial Narrow"/>
      <family val="2"/>
      <charset val="1"/>
    </font>
    <font>
      <sz val="11"/>
      <color rgb="FFFF0000"/>
      <name val="Calibri"/>
      <family val="2"/>
      <charset val="1"/>
    </font>
    <font>
      <b/>
      <sz val="6"/>
      <color rgb="FFFF0000"/>
      <name val="Arial Narrow"/>
      <family val="2"/>
      <charset val="1"/>
    </font>
    <font>
      <b/>
      <sz val="6"/>
      <color rgb="FF003366"/>
      <name val="Arial Narrow"/>
      <family val="2"/>
      <charset val="1"/>
    </font>
    <font>
      <sz val="8"/>
      <name val="Calibri"/>
      <family val="2"/>
      <charset val="1"/>
    </font>
    <font>
      <sz val="7"/>
      <name val="Arial"/>
      <family val="2"/>
      <charset val="1"/>
    </font>
    <font>
      <sz val="7"/>
      <color rgb="FFFF0000"/>
      <name val="Arial"/>
      <family val="2"/>
      <charset val="1"/>
    </font>
    <font>
      <b/>
      <sz val="6"/>
      <color rgb="FF000000"/>
      <name val="Arial Narrow"/>
      <family val="2"/>
    </font>
    <font>
      <sz val="6"/>
      <color rgb="FF000000"/>
      <name val="Arial Narrow"/>
      <family val="2"/>
    </font>
    <font>
      <b/>
      <sz val="6"/>
      <name val="Arial Narrow"/>
      <family val="2"/>
    </font>
    <font>
      <b/>
      <sz val="10"/>
      <name val="Arial Narrow"/>
      <family val="2"/>
      <charset val="1"/>
    </font>
    <font>
      <sz val="10"/>
      <name val="Arial Narrow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/>
    <xf numFmtId="164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 readingOrder="1"/>
    </xf>
    <xf numFmtId="49" fontId="6" fillId="2" borderId="3" xfId="0" applyNumberFormat="1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164" fontId="6" fillId="2" borderId="4" xfId="0" applyNumberFormat="1" applyFont="1" applyFill="1" applyBorder="1" applyAlignment="1">
      <alignment horizontal="right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10" fontId="6" fillId="2" borderId="4" xfId="0" applyNumberFormat="1" applyFont="1" applyFill="1" applyBorder="1" applyAlignment="1">
      <alignment horizontal="right" vertical="center" wrapText="1" readingOrder="1"/>
    </xf>
    <xf numFmtId="164" fontId="6" fillId="2" borderId="5" xfId="0" applyNumberFormat="1" applyFont="1" applyFill="1" applyBorder="1" applyAlignment="1">
      <alignment horizontal="right" vertical="center" wrapText="1" readingOrder="1"/>
    </xf>
    <xf numFmtId="0" fontId="2" fillId="2" borderId="0" xfId="0" applyFont="1" applyFill="1"/>
    <xf numFmtId="0" fontId="9" fillId="2" borderId="3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164" fontId="8" fillId="2" borderId="3" xfId="0" applyNumberFormat="1" applyFont="1" applyFill="1" applyBorder="1" applyAlignment="1">
      <alignment horizontal="right" vertical="center" wrapText="1" readingOrder="1"/>
    </xf>
    <xf numFmtId="10" fontId="6" fillId="2" borderId="6" xfId="0" applyNumberFormat="1" applyFont="1" applyFill="1" applyBorder="1" applyAlignment="1">
      <alignment horizontal="right" vertical="center" wrapText="1" readingOrder="1"/>
    </xf>
    <xf numFmtId="164" fontId="6" fillId="2" borderId="3" xfId="0" applyNumberFormat="1" applyFont="1" applyFill="1" applyBorder="1" applyAlignment="1">
      <alignment horizontal="right" vertical="center" wrapText="1" readingOrder="1"/>
    </xf>
    <xf numFmtId="164" fontId="8" fillId="2" borderId="7" xfId="0" applyNumberFormat="1" applyFont="1" applyFill="1" applyBorder="1" applyAlignment="1">
      <alignment horizontal="right" vertical="center" wrapText="1" readingOrder="1"/>
    </xf>
    <xf numFmtId="49" fontId="9" fillId="2" borderId="3" xfId="0" applyNumberFormat="1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164" fontId="9" fillId="2" borderId="3" xfId="0" applyNumberFormat="1" applyFont="1" applyFill="1" applyBorder="1" applyAlignment="1">
      <alignment horizontal="right" vertical="center" wrapText="1" readingOrder="1"/>
    </xf>
    <xf numFmtId="164" fontId="11" fillId="2" borderId="3" xfId="0" applyNumberFormat="1" applyFont="1" applyFill="1" applyBorder="1" applyAlignment="1">
      <alignment horizontal="right" vertical="center" wrapText="1" readingOrder="1"/>
    </xf>
    <xf numFmtId="10" fontId="9" fillId="2" borderId="3" xfId="0" applyNumberFormat="1" applyFont="1" applyFill="1" applyBorder="1" applyAlignment="1">
      <alignment horizontal="right" vertical="center" wrapText="1" readingOrder="1"/>
    </xf>
    <xf numFmtId="164" fontId="9" fillId="2" borderId="7" xfId="0" applyNumberFormat="1" applyFont="1" applyFill="1" applyBorder="1" applyAlignment="1">
      <alignment horizontal="right" vertical="center" wrapText="1" readingOrder="1"/>
    </xf>
    <xf numFmtId="164" fontId="11" fillId="2" borderId="7" xfId="0" applyNumberFormat="1" applyFont="1" applyFill="1" applyBorder="1" applyAlignment="1">
      <alignment horizontal="right" vertical="center" wrapText="1" readingOrder="1"/>
    </xf>
    <xf numFmtId="0" fontId="12" fillId="2" borderId="3" xfId="0" applyFont="1" applyFill="1" applyBorder="1" applyAlignment="1">
      <alignment horizontal="center" vertical="center" wrapText="1" readingOrder="1"/>
    </xf>
    <xf numFmtId="10" fontId="6" fillId="2" borderId="3" xfId="0" applyNumberFormat="1" applyFont="1" applyFill="1" applyBorder="1" applyAlignment="1">
      <alignment horizontal="right" vertical="center" wrapText="1" readingOrder="1"/>
    </xf>
    <xf numFmtId="164" fontId="6" fillId="2" borderId="7" xfId="0" applyNumberFormat="1" applyFont="1" applyFill="1" applyBorder="1" applyAlignment="1">
      <alignment horizontal="right" vertical="center" wrapText="1" readingOrder="1"/>
    </xf>
    <xf numFmtId="165" fontId="13" fillId="2" borderId="0" xfId="0" applyNumberFormat="1" applyFont="1" applyFill="1"/>
    <xf numFmtId="0" fontId="13" fillId="2" borderId="0" xfId="0" applyFont="1" applyFill="1"/>
    <xf numFmtId="0" fontId="8" fillId="3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 readingOrder="1"/>
    </xf>
    <xf numFmtId="164" fontId="8" fillId="3" borderId="3" xfId="0" applyNumberFormat="1" applyFont="1" applyFill="1" applyBorder="1" applyAlignment="1">
      <alignment horizontal="right" vertical="center" wrapText="1" readingOrder="1"/>
    </xf>
    <xf numFmtId="10" fontId="8" fillId="3" borderId="3" xfId="0" applyNumberFormat="1" applyFont="1" applyFill="1" applyBorder="1" applyAlignment="1">
      <alignment horizontal="right" vertical="center" wrapText="1" readingOrder="1"/>
    </xf>
    <xf numFmtId="164" fontId="8" fillId="3" borderId="7" xfId="0" applyNumberFormat="1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4" fontId="8" fillId="3" borderId="6" xfId="0" applyNumberFormat="1" applyFont="1" applyFill="1" applyBorder="1" applyAlignment="1">
      <alignment horizontal="right" vertical="center" wrapText="1" readingOrder="1"/>
    </xf>
    <xf numFmtId="164" fontId="8" fillId="3" borderId="9" xfId="0" applyNumberFormat="1" applyFont="1" applyFill="1" applyBorder="1" applyAlignment="1">
      <alignment horizontal="right" vertical="center" wrapText="1" readingOrder="1"/>
    </xf>
    <xf numFmtId="0" fontId="6" fillId="2" borderId="8" xfId="0" applyFont="1" applyFill="1" applyBorder="1" applyAlignment="1">
      <alignment horizontal="center" vertical="center" wrapText="1" readingOrder="1"/>
    </xf>
    <xf numFmtId="164" fontId="8" fillId="0" borderId="3" xfId="0" applyNumberFormat="1" applyFont="1" applyBorder="1" applyAlignment="1">
      <alignment horizontal="right" vertical="center" wrapText="1" readingOrder="1"/>
    </xf>
    <xf numFmtId="10" fontId="8" fillId="2" borderId="3" xfId="0" applyNumberFormat="1" applyFont="1" applyFill="1" applyBorder="1" applyAlignment="1">
      <alignment horizontal="right" vertical="center" wrapText="1" readingOrder="1"/>
    </xf>
    <xf numFmtId="0" fontId="9" fillId="2" borderId="8" xfId="0" applyFont="1" applyFill="1" applyBorder="1" applyAlignment="1">
      <alignment horizontal="center" vertical="center" wrapText="1" readingOrder="1"/>
    </xf>
    <xf numFmtId="164" fontId="11" fillId="0" borderId="3" xfId="0" applyNumberFormat="1" applyFont="1" applyBorder="1" applyAlignment="1">
      <alignment horizontal="right" vertical="center" wrapText="1" readingOrder="1"/>
    </xf>
    <xf numFmtId="10" fontId="11" fillId="2" borderId="3" xfId="0" applyNumberFormat="1" applyFont="1" applyFill="1" applyBorder="1" applyAlignment="1">
      <alignment horizontal="right" vertical="center" wrapText="1" readingOrder="1"/>
    </xf>
    <xf numFmtId="164" fontId="11" fillId="0" borderId="7" xfId="0" applyNumberFormat="1" applyFont="1" applyBorder="1" applyAlignment="1">
      <alignment horizontal="right" vertical="center" wrapText="1" readingOrder="1"/>
    </xf>
    <xf numFmtId="166" fontId="9" fillId="2" borderId="3" xfId="0" applyNumberFormat="1" applyFont="1" applyFill="1" applyBorder="1" applyAlignment="1">
      <alignment horizontal="center" vertical="center" wrapText="1" readingOrder="1"/>
    </xf>
    <xf numFmtId="164" fontId="14" fillId="0" borderId="3" xfId="0" applyNumberFormat="1" applyFont="1" applyBorder="1" applyAlignment="1">
      <alignment horizontal="right" vertical="center" wrapText="1" readingOrder="1"/>
    </xf>
    <xf numFmtId="164" fontId="11" fillId="0" borderId="11" xfId="0" applyNumberFormat="1" applyFont="1" applyBorder="1" applyAlignment="1">
      <alignment horizontal="right" vertical="center" wrapText="1" readingOrder="1"/>
    </xf>
    <xf numFmtId="49" fontId="15" fillId="0" borderId="3" xfId="0" applyNumberFormat="1" applyFont="1" applyBorder="1" applyAlignment="1">
      <alignment horizontal="center" vertical="center" wrapText="1" readingOrder="1"/>
    </xf>
    <xf numFmtId="164" fontId="8" fillId="0" borderId="7" xfId="0" applyNumberFormat="1" applyFont="1" applyBorder="1" applyAlignment="1">
      <alignment horizontal="right" vertical="center" wrapText="1" readingOrder="1"/>
    </xf>
    <xf numFmtId="0" fontId="16" fillId="2" borderId="3" xfId="0" applyFont="1" applyFill="1" applyBorder="1" applyAlignment="1">
      <alignment horizontal="center" vertical="center" wrapText="1" readingOrder="1"/>
    </xf>
    <xf numFmtId="0" fontId="17" fillId="2" borderId="8" xfId="0" applyFont="1" applyFill="1" applyBorder="1" applyAlignment="1">
      <alignment horizontal="center" vertical="center" wrapText="1" readingOrder="1"/>
    </xf>
    <xf numFmtId="0" fontId="17" fillId="2" borderId="3" xfId="0" applyFont="1" applyFill="1" applyBorder="1" applyAlignment="1">
      <alignment horizontal="center" vertical="center" wrapText="1" readingOrder="1"/>
    </xf>
    <xf numFmtId="49" fontId="17" fillId="2" borderId="3" xfId="0" applyNumberFormat="1" applyFont="1" applyFill="1" applyBorder="1" applyAlignment="1">
      <alignment horizontal="center" vertical="center" wrapText="1" readingOrder="1"/>
    </xf>
    <xf numFmtId="0" fontId="17" fillId="2" borderId="3" xfId="0" applyFont="1" applyFill="1" applyBorder="1" applyAlignment="1">
      <alignment vertical="center" wrapText="1" readingOrder="1"/>
    </xf>
    <xf numFmtId="0" fontId="18" fillId="2" borderId="3" xfId="0" applyFont="1" applyFill="1" applyBorder="1" applyAlignment="1">
      <alignment horizontal="center" vertical="center" wrapText="1" readingOrder="1"/>
    </xf>
    <xf numFmtId="164" fontId="17" fillId="0" borderId="3" xfId="0" applyNumberFormat="1" applyFont="1" applyBorder="1" applyAlignment="1">
      <alignment horizontal="right" vertical="center" wrapText="1" readingOrder="1"/>
    </xf>
    <xf numFmtId="164" fontId="17" fillId="2" borderId="3" xfId="0" applyNumberFormat="1" applyFont="1" applyFill="1" applyBorder="1" applyAlignment="1">
      <alignment horizontal="right" vertical="center" wrapText="1" readingOrder="1"/>
    </xf>
    <xf numFmtId="164" fontId="17" fillId="2" borderId="7" xfId="0" applyNumberFormat="1" applyFont="1" applyFill="1" applyBorder="1" applyAlignment="1">
      <alignment horizontal="right" vertical="center" wrapText="1" readingOrder="1"/>
    </xf>
    <xf numFmtId="0" fontId="19" fillId="2" borderId="0" xfId="0" applyFont="1" applyFill="1"/>
    <xf numFmtId="0" fontId="11" fillId="2" borderId="3" xfId="0" applyFont="1" applyFill="1" applyBorder="1" applyAlignment="1">
      <alignment vertical="center" wrapText="1" readingOrder="1"/>
    </xf>
    <xf numFmtId="0" fontId="8" fillId="3" borderId="8" xfId="0" applyFont="1" applyFill="1" applyBorder="1" applyAlignment="1">
      <alignment horizontal="center" vertical="center" wrapText="1" readingOrder="1"/>
    </xf>
    <xf numFmtId="164" fontId="20" fillId="3" borderId="3" xfId="0" applyNumberFormat="1" applyFont="1" applyFill="1" applyBorder="1" applyAlignment="1">
      <alignment horizontal="right" vertical="center" wrapText="1" readingOrder="1"/>
    </xf>
    <xf numFmtId="164" fontId="20" fillId="3" borderId="6" xfId="0" applyNumberFormat="1" applyFont="1" applyFill="1" applyBorder="1" applyAlignment="1">
      <alignment horizontal="right" vertical="center" wrapText="1" readingOrder="1"/>
    </xf>
    <xf numFmtId="0" fontId="9" fillId="2" borderId="0" xfId="0" applyFont="1" applyFill="1" applyAlignment="1">
      <alignment vertical="center" wrapText="1" readingOrder="1"/>
    </xf>
    <xf numFmtId="0" fontId="9" fillId="2" borderId="12" xfId="0" applyFont="1" applyFill="1" applyBorder="1" applyAlignment="1">
      <alignment vertical="center" wrapText="1" readingOrder="1"/>
    </xf>
    <xf numFmtId="0" fontId="8" fillId="4" borderId="8" xfId="0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 readingOrder="1"/>
    </xf>
    <xf numFmtId="164" fontId="8" fillId="4" borderId="3" xfId="0" applyNumberFormat="1" applyFont="1" applyFill="1" applyBorder="1" applyAlignment="1">
      <alignment horizontal="right" vertical="center" wrapText="1" readingOrder="1"/>
    </xf>
    <xf numFmtId="10" fontId="8" fillId="4" borderId="3" xfId="0" applyNumberFormat="1" applyFont="1" applyFill="1" applyBorder="1" applyAlignment="1">
      <alignment horizontal="right" vertical="center" wrapText="1" readingOrder="1"/>
    </xf>
    <xf numFmtId="164" fontId="8" fillId="4" borderId="7" xfId="0" applyNumberFormat="1" applyFont="1" applyFill="1" applyBorder="1" applyAlignment="1">
      <alignment horizontal="right" vertical="center" wrapText="1" readingOrder="1"/>
    </xf>
    <xf numFmtId="164" fontId="20" fillId="4" borderId="3" xfId="0" applyNumberFormat="1" applyFont="1" applyFill="1" applyBorder="1" applyAlignment="1">
      <alignment horizontal="right" vertical="center" wrapText="1" readingOrder="1"/>
    </xf>
    <xf numFmtId="164" fontId="4" fillId="4" borderId="6" xfId="0" applyNumberFormat="1" applyFont="1" applyFill="1" applyBorder="1" applyAlignment="1">
      <alignment horizontal="right" vertical="center" wrapText="1" readingOrder="1"/>
    </xf>
    <xf numFmtId="164" fontId="4" fillId="4" borderId="9" xfId="0" applyNumberFormat="1" applyFont="1" applyFill="1" applyBorder="1" applyAlignment="1">
      <alignment horizontal="right" vertical="center" wrapText="1" readingOrder="1"/>
    </xf>
    <xf numFmtId="165" fontId="6" fillId="2" borderId="3" xfId="0" applyNumberFormat="1" applyFont="1" applyFill="1" applyBorder="1" applyAlignment="1">
      <alignment horizontal="right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164" fontId="9" fillId="0" borderId="3" xfId="0" applyNumberFormat="1" applyFont="1" applyBorder="1" applyAlignment="1">
      <alignment horizontal="right" vertical="center" wrapText="1" readingOrder="1"/>
    </xf>
    <xf numFmtId="164" fontId="9" fillId="0" borderId="7" xfId="0" applyNumberFormat="1" applyFont="1" applyBorder="1" applyAlignment="1">
      <alignment horizontal="right" vertical="center" wrapText="1" readingOrder="1"/>
    </xf>
    <xf numFmtId="164" fontId="6" fillId="0" borderId="3" xfId="0" applyNumberFormat="1" applyFont="1" applyBorder="1" applyAlignment="1">
      <alignment horizontal="right" vertical="center" wrapText="1" readingOrder="1"/>
    </xf>
    <xf numFmtId="164" fontId="6" fillId="0" borderId="7" xfId="0" applyNumberFormat="1" applyFont="1" applyBorder="1" applyAlignment="1">
      <alignment horizontal="right" vertical="center" wrapText="1" readingOrder="1"/>
    </xf>
    <xf numFmtId="0" fontId="13" fillId="0" borderId="0" xfId="0" applyFont="1"/>
    <xf numFmtId="0" fontId="8" fillId="2" borderId="3" xfId="0" applyFont="1" applyFill="1" applyBorder="1" applyAlignment="1">
      <alignment vertical="center" wrapText="1" readingOrder="1"/>
    </xf>
    <xf numFmtId="164" fontId="9" fillId="0" borderId="11" xfId="0" applyNumberFormat="1" applyFont="1" applyBorder="1" applyAlignment="1">
      <alignment horizontal="right" vertical="center" wrapText="1" readingOrder="1"/>
    </xf>
    <xf numFmtId="4" fontId="11" fillId="0" borderId="3" xfId="0" applyNumberFormat="1" applyFont="1" applyBorder="1" applyAlignment="1">
      <alignment horizontal="right" vertical="center" wrapText="1" readingOrder="1"/>
    </xf>
    <xf numFmtId="165" fontId="8" fillId="2" borderId="3" xfId="0" applyNumberFormat="1" applyFont="1" applyFill="1" applyBorder="1" applyAlignment="1">
      <alignment horizontal="right" vertical="center" wrapText="1" readingOrder="1"/>
    </xf>
    <xf numFmtId="164" fontId="21" fillId="3" borderId="3" xfId="0" applyNumberFormat="1" applyFont="1" applyFill="1" applyBorder="1" applyAlignment="1">
      <alignment horizontal="right" vertical="center" wrapText="1" readingOrder="1"/>
    </xf>
    <xf numFmtId="164" fontId="4" fillId="4" borderId="14" xfId="0" applyNumberFormat="1" applyFont="1" applyFill="1" applyBorder="1" applyAlignment="1">
      <alignment horizontal="right" vertical="center" wrapText="1" readingOrder="1"/>
    </xf>
    <xf numFmtId="10" fontId="4" fillId="4" borderId="15" xfId="0" applyNumberFormat="1" applyFont="1" applyFill="1" applyBorder="1" applyAlignment="1">
      <alignment horizontal="right" vertical="center" wrapText="1" readingOrder="1"/>
    </xf>
    <xf numFmtId="164" fontId="4" fillId="4" borderId="16" xfId="0" applyNumberFormat="1" applyFont="1" applyFill="1" applyBorder="1" applyAlignment="1">
      <alignment horizontal="right" vertical="center" wrapText="1" readingOrder="1"/>
    </xf>
    <xf numFmtId="0" fontId="22" fillId="0" borderId="0" xfId="0" applyFont="1"/>
    <xf numFmtId="164" fontId="4" fillId="4" borderId="10" xfId="0" applyNumberFormat="1" applyFont="1" applyFill="1" applyBorder="1" applyAlignment="1">
      <alignment horizontal="right" vertical="center" wrapText="1" readingOrder="1"/>
    </xf>
    <xf numFmtId="0" fontId="23" fillId="0" borderId="0" xfId="0" applyFont="1" applyAlignment="1">
      <alignment vertical="top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 readingOrder="1"/>
    </xf>
    <xf numFmtId="10" fontId="4" fillId="0" borderId="0" xfId="0" applyNumberFormat="1" applyFont="1" applyAlignment="1">
      <alignment horizontal="right" vertical="center" wrapText="1" readingOrder="1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center" vertical="top"/>
    </xf>
    <xf numFmtId="167" fontId="23" fillId="0" borderId="0" xfId="0" applyNumberFormat="1" applyFont="1" applyAlignment="1">
      <alignment vertical="top"/>
    </xf>
    <xf numFmtId="164" fontId="23" fillId="0" borderId="0" xfId="0" applyNumberFormat="1" applyFont="1" applyAlignment="1">
      <alignment horizontal="center" vertical="top"/>
    </xf>
    <xf numFmtId="164" fontId="23" fillId="0" borderId="0" xfId="0" applyNumberFormat="1" applyFont="1" applyAlignment="1">
      <alignment vertical="top" wrapText="1"/>
    </xf>
    <xf numFmtId="164" fontId="23" fillId="0" borderId="0" xfId="0" applyNumberFormat="1" applyFont="1" applyAlignment="1">
      <alignment vertical="top"/>
    </xf>
    <xf numFmtId="164" fontId="23" fillId="2" borderId="0" xfId="0" applyNumberFormat="1" applyFont="1" applyFill="1" applyAlignment="1">
      <alignment vertical="top"/>
    </xf>
    <xf numFmtId="164" fontId="24" fillId="2" borderId="0" xfId="0" applyNumberFormat="1" applyFont="1" applyFill="1" applyAlignment="1">
      <alignment vertical="top"/>
    </xf>
    <xf numFmtId="165" fontId="23" fillId="0" borderId="0" xfId="0" applyNumberFormat="1" applyFont="1" applyAlignment="1">
      <alignment vertical="top"/>
    </xf>
    <xf numFmtId="0" fontId="23" fillId="2" borderId="0" xfId="0" applyFont="1" applyFill="1" applyAlignment="1">
      <alignment vertical="top"/>
    </xf>
    <xf numFmtId="164" fontId="24" fillId="0" borderId="0" xfId="0" applyNumberFormat="1" applyFont="1" applyAlignment="1">
      <alignment vertical="top" wrapText="1"/>
    </xf>
    <xf numFmtId="165" fontId="23" fillId="2" borderId="0" xfId="0" applyNumberFormat="1" applyFont="1" applyFill="1" applyAlignment="1">
      <alignment vertical="top"/>
    </xf>
    <xf numFmtId="164" fontId="22" fillId="0" borderId="0" xfId="0" applyNumberFormat="1" applyFont="1"/>
    <xf numFmtId="10" fontId="25" fillId="2" borderId="3" xfId="0" applyNumberFormat="1" applyFont="1" applyFill="1" applyBorder="1" applyAlignment="1">
      <alignment horizontal="right" vertical="center" wrapText="1" readingOrder="1"/>
    </xf>
    <xf numFmtId="10" fontId="26" fillId="2" borderId="3" xfId="0" applyNumberFormat="1" applyFont="1" applyFill="1" applyBorder="1" applyAlignment="1">
      <alignment horizontal="right" vertical="center" wrapText="1" readingOrder="1"/>
    </xf>
    <xf numFmtId="10" fontId="27" fillId="4" borderId="3" xfId="0" applyNumberFormat="1" applyFont="1" applyFill="1" applyBorder="1" applyAlignment="1">
      <alignment horizontal="right" vertical="center" wrapText="1" readingOrder="1"/>
    </xf>
    <xf numFmtId="0" fontId="4" fillId="3" borderId="1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164" fontId="4" fillId="0" borderId="0" xfId="0" applyNumberFormat="1" applyFont="1" applyAlignment="1">
      <alignment horizontal="center" vertical="center" wrapText="1" readingOrder="1"/>
    </xf>
    <xf numFmtId="0" fontId="28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6000000}"/>
    <cellStyle name="Normal 3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RES-2026\INFORMES%20DE%20EJECUCION%202026\AGOSTO%2031-2026\DESAGREGADO%20AGOSTO31-2026.xls" TargetMode="External"/><Relationship Id="rId1" Type="http://schemas.openxmlformats.org/officeDocument/2006/relationships/externalLinkPath" Target="file:///D:\PRES-2026\INFORMES%20DE%20EJECUCION%202026\AGOSTO%2031-2026\DESAGREGADO%20AGOSTO31-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</sheetNames>
    <sheetDataSet>
      <sheetData sheetId="0">
        <row r="9">
          <cell r="T9">
            <v>853814253</v>
          </cell>
        </row>
        <row r="15">
          <cell r="T15">
            <v>40253000</v>
          </cell>
        </row>
        <row r="46">
          <cell r="T46">
            <v>376967466</v>
          </cell>
        </row>
        <row r="47">
          <cell r="T47">
            <v>126562285</v>
          </cell>
        </row>
        <row r="59">
          <cell r="T59">
            <v>3371174247.1300001</v>
          </cell>
        </row>
        <row r="67">
          <cell r="T67">
            <v>4769550938</v>
          </cell>
        </row>
        <row r="69">
          <cell r="T69">
            <v>2148218844.8699999</v>
          </cell>
        </row>
        <row r="77">
          <cell r="T77">
            <v>1946000000</v>
          </cell>
        </row>
        <row r="97">
          <cell r="T97">
            <v>4636891736</v>
          </cell>
        </row>
        <row r="98">
          <cell r="T98">
            <v>5216256894.0100002</v>
          </cell>
        </row>
        <row r="99">
          <cell r="T99">
            <v>1738733853.5799999</v>
          </cell>
        </row>
        <row r="101">
          <cell r="T101">
            <v>0</v>
          </cell>
        </row>
        <row r="102">
          <cell r="T102">
            <v>325504085</v>
          </cell>
        </row>
        <row r="103">
          <cell r="T103">
            <v>19627333210</v>
          </cell>
        </row>
        <row r="104">
          <cell r="T104">
            <v>1045949970</v>
          </cell>
        </row>
        <row r="105">
          <cell r="T105">
            <v>5193489626</v>
          </cell>
        </row>
        <row r="106">
          <cell r="T106">
            <v>137904976</v>
          </cell>
        </row>
        <row r="107">
          <cell r="T107">
            <v>1439472309</v>
          </cell>
        </row>
        <row r="108">
          <cell r="T108">
            <v>209889208</v>
          </cell>
        </row>
        <row r="109">
          <cell r="T109">
            <v>382697480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55A11"/>
  </sheetPr>
  <dimension ref="A1:IY180"/>
  <sheetViews>
    <sheetView showGridLines="0" tabSelected="1" zoomScale="140" zoomScaleNormal="140" workbookViewId="0">
      <selection sqref="A1:F1"/>
    </sheetView>
  </sheetViews>
  <sheetFormatPr baseColWidth="10" defaultColWidth="11.42578125" defaultRowHeight="15" x14ac:dyDescent="0.25"/>
  <cols>
    <col min="1" max="1" width="3.140625" style="2" customWidth="1"/>
    <col min="2" max="2" width="2.85546875" style="2" customWidth="1"/>
    <col min="3" max="4" width="3.5703125" style="2" customWidth="1"/>
    <col min="5" max="5" width="4.140625" style="2" customWidth="1"/>
    <col min="6" max="6" width="4.28515625" style="2" customWidth="1"/>
    <col min="7" max="7" width="20.28515625" style="2" customWidth="1"/>
    <col min="8" max="8" width="5.28515625" style="2" customWidth="1"/>
    <col min="9" max="9" width="3.5703125" style="2" customWidth="1"/>
    <col min="10" max="10" width="15.5703125" style="3" customWidth="1"/>
    <col min="11" max="11" width="12.85546875" style="3" customWidth="1"/>
    <col min="12" max="12" width="14.28515625" style="3" customWidth="1"/>
    <col min="13" max="13" width="13.140625" style="3" customWidth="1"/>
    <col min="14" max="14" width="14.7109375" style="3" customWidth="1"/>
    <col min="15" max="15" width="14.140625" style="4" customWidth="1"/>
    <col min="16" max="16" width="14.85546875" style="3" customWidth="1"/>
    <col min="17" max="17" width="14.5703125" style="4" customWidth="1"/>
    <col min="18" max="18" width="8.140625" style="3" customWidth="1"/>
    <col min="19" max="19" width="14" style="3" customWidth="1"/>
    <col min="20" max="20" width="13.85546875" style="3" customWidth="1"/>
    <col min="21" max="21" width="19.28515625" style="2" customWidth="1"/>
    <col min="22" max="22" width="16.140625" style="2" customWidth="1"/>
    <col min="23" max="16384" width="11.42578125" style="2"/>
  </cols>
  <sheetData>
    <row r="1" spans="1:20" ht="18.75" customHeight="1" x14ac:dyDescent="0.25">
      <c r="A1" s="131" t="s">
        <v>0</v>
      </c>
      <c r="B1" s="131"/>
      <c r="C1" s="131"/>
      <c r="D1" s="131"/>
      <c r="E1" s="131"/>
      <c r="F1" s="131"/>
      <c r="G1" s="1" t="s">
        <v>1</v>
      </c>
      <c r="H1" s="1" t="s">
        <v>2</v>
      </c>
      <c r="I1" s="1" t="s">
        <v>3</v>
      </c>
      <c r="J1" s="5" t="s">
        <v>4</v>
      </c>
      <c r="K1" s="5" t="s">
        <v>5</v>
      </c>
      <c r="L1" s="5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s="6" customFormat="1" ht="14.25" customHeight="1" x14ac:dyDescent="0.25">
      <c r="A2" s="132" t="s">
        <v>15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16" customFormat="1" ht="17.25" customHeight="1" x14ac:dyDescent="0.25">
      <c r="A3" s="7" t="s">
        <v>16</v>
      </c>
      <c r="B3" s="8" t="s">
        <v>17</v>
      </c>
      <c r="C3" s="7" t="s">
        <v>17</v>
      </c>
      <c r="D3" s="9"/>
      <c r="E3" s="9"/>
      <c r="F3" s="9"/>
      <c r="G3" s="10" t="s">
        <v>18</v>
      </c>
      <c r="H3" s="9" t="s">
        <v>19</v>
      </c>
      <c r="I3" s="11">
        <v>10</v>
      </c>
      <c r="J3" s="12">
        <f t="shared" ref="J3:P3" si="0">J4+J18+J26</f>
        <v>349572344000</v>
      </c>
      <c r="K3" s="12">
        <f t="shared" si="0"/>
        <v>1209681253</v>
      </c>
      <c r="L3" s="13">
        <f t="shared" si="0"/>
        <v>1209681253</v>
      </c>
      <c r="M3" s="13">
        <f>M4+M18+M26</f>
        <v>349572344000</v>
      </c>
      <c r="N3" s="12">
        <f t="shared" si="0"/>
        <v>0</v>
      </c>
      <c r="O3" s="12">
        <f t="shared" si="0"/>
        <v>213788125591</v>
      </c>
      <c r="P3" s="13">
        <f t="shared" si="0"/>
        <v>135784218409</v>
      </c>
      <c r="Q3" s="12">
        <f>Q4+Q18+Q26</f>
        <v>213788125591</v>
      </c>
      <c r="R3" s="14">
        <f>IF(Q3&gt;1,Q3/(M3),0)</f>
        <v>0.61157047821551924</v>
      </c>
      <c r="S3" s="12">
        <f>S4+S18+S26</f>
        <v>211020879591</v>
      </c>
      <c r="T3" s="15">
        <f>T4+T18+T26</f>
        <v>211020879591</v>
      </c>
    </row>
    <row r="4" spans="1:20" s="16" customFormat="1" ht="16.5" customHeight="1" x14ac:dyDescent="0.25">
      <c r="A4" s="7" t="s">
        <v>16</v>
      </c>
      <c r="B4" s="8" t="s">
        <v>17</v>
      </c>
      <c r="C4" s="7" t="s">
        <v>17</v>
      </c>
      <c r="D4" s="7" t="s">
        <v>17</v>
      </c>
      <c r="E4" s="17"/>
      <c r="F4" s="17"/>
      <c r="G4" s="18" t="s">
        <v>20</v>
      </c>
      <c r="H4" s="7" t="s">
        <v>19</v>
      </c>
      <c r="I4" s="19" t="s">
        <v>21</v>
      </c>
      <c r="J4" s="20">
        <f t="shared" ref="J4:P4" si="1">SUM(J5:J17)</f>
        <v>234438279000</v>
      </c>
      <c r="K4" s="20">
        <f t="shared" si="1"/>
        <v>848181253</v>
      </c>
      <c r="L4" s="20">
        <f t="shared" si="1"/>
        <v>848181253</v>
      </c>
      <c r="M4" s="20">
        <f t="shared" si="1"/>
        <v>234438279000</v>
      </c>
      <c r="N4" s="20">
        <f t="shared" si="1"/>
        <v>0</v>
      </c>
      <c r="O4" s="20">
        <f t="shared" si="1"/>
        <v>144699971346</v>
      </c>
      <c r="P4" s="20">
        <f t="shared" si="1"/>
        <v>89738307654</v>
      </c>
      <c r="Q4" s="20">
        <f>SUM(Q5:Q17)</f>
        <v>144699971346</v>
      </c>
      <c r="R4" s="21">
        <f>IF(Q4&gt;1,Q4/(M4),0)</f>
        <v>0.61721990096165136</v>
      </c>
      <c r="S4" s="22">
        <f>SUM(S5:S17)</f>
        <v>144699971346</v>
      </c>
      <c r="T4" s="23">
        <f>SUM(T5:T17)</f>
        <v>144699971346</v>
      </c>
    </row>
    <row r="5" spans="1:20" s="16" customFormat="1" ht="15" customHeight="1" x14ac:dyDescent="0.25">
      <c r="A5" s="17" t="s">
        <v>16</v>
      </c>
      <c r="B5" s="24" t="s">
        <v>17</v>
      </c>
      <c r="C5" s="17" t="s">
        <v>17</v>
      </c>
      <c r="D5" s="17" t="s">
        <v>17</v>
      </c>
      <c r="E5" s="17" t="s">
        <v>22</v>
      </c>
      <c r="F5" s="17" t="s">
        <v>22</v>
      </c>
      <c r="G5" s="25" t="s">
        <v>23</v>
      </c>
      <c r="H5" s="17" t="s">
        <v>19</v>
      </c>
      <c r="I5" s="26">
        <v>10</v>
      </c>
      <c r="J5" s="27">
        <v>171029890100</v>
      </c>
      <c r="K5" s="27"/>
      <c r="L5" s="28">
        <f>290000000+200000000+260000000</f>
        <v>750000000</v>
      </c>
      <c r="M5" s="28">
        <f>J5+K5-L5</f>
        <v>170279890100</v>
      </c>
      <c r="N5" s="27">
        <v>0</v>
      </c>
      <c r="O5" s="27">
        <v>113285537084</v>
      </c>
      <c r="P5" s="28">
        <f t="shared" ref="P5:P17" si="2">+M5-O5-N5</f>
        <v>56994353016</v>
      </c>
      <c r="Q5" s="27">
        <v>113285537084</v>
      </c>
      <c r="R5" s="29">
        <f>IF(Q5&gt;1,Q5/(M5),0)</f>
        <v>0.6652901703041445</v>
      </c>
      <c r="S5" s="27">
        <v>113285537084</v>
      </c>
      <c r="T5" s="30">
        <v>113285537084</v>
      </c>
    </row>
    <row r="6" spans="1:20" s="16" customFormat="1" ht="15" customHeight="1" x14ac:dyDescent="0.25">
      <c r="A6" s="17" t="s">
        <v>16</v>
      </c>
      <c r="B6" s="24" t="s">
        <v>17</v>
      </c>
      <c r="C6" s="17" t="s">
        <v>17</v>
      </c>
      <c r="D6" s="17" t="s">
        <v>17</v>
      </c>
      <c r="E6" s="17" t="s">
        <v>22</v>
      </c>
      <c r="F6" s="17" t="s">
        <v>24</v>
      </c>
      <c r="G6" s="25" t="s">
        <v>25</v>
      </c>
      <c r="H6" s="17" t="s">
        <v>19</v>
      </c>
      <c r="I6" s="26">
        <v>10</v>
      </c>
      <c r="J6" s="27">
        <v>3368477200</v>
      </c>
      <c r="K6" s="27"/>
      <c r="L6" s="28"/>
      <c r="M6" s="28">
        <f t="shared" ref="M6:M17" si="3">J6+K6-L6</f>
        <v>3368477200</v>
      </c>
      <c r="N6" s="27">
        <v>0</v>
      </c>
      <c r="O6" s="27">
        <v>2330057531</v>
      </c>
      <c r="P6" s="28">
        <f t="shared" si="2"/>
        <v>1038419669</v>
      </c>
      <c r="Q6" s="27">
        <v>2330057531</v>
      </c>
      <c r="R6" s="29">
        <f t="shared" ref="R6:R30" si="4">IF(Q6&gt;1,Q6/(M6),0)</f>
        <v>0.69172429933621049</v>
      </c>
      <c r="S6" s="27">
        <v>2330057531</v>
      </c>
      <c r="T6" s="30">
        <v>2330057531</v>
      </c>
    </row>
    <row r="7" spans="1:20" s="16" customFormat="1" ht="16.5" customHeight="1" x14ac:dyDescent="0.25">
      <c r="A7" s="17" t="s">
        <v>16</v>
      </c>
      <c r="B7" s="24" t="s">
        <v>17</v>
      </c>
      <c r="C7" s="17" t="s">
        <v>17</v>
      </c>
      <c r="D7" s="17" t="s">
        <v>17</v>
      </c>
      <c r="E7" s="17" t="s">
        <v>22</v>
      </c>
      <c r="F7" s="17" t="s">
        <v>26</v>
      </c>
      <c r="G7" s="25" t="s">
        <v>27</v>
      </c>
      <c r="H7" s="17" t="s">
        <v>19</v>
      </c>
      <c r="I7" s="26">
        <v>10</v>
      </c>
      <c r="J7" s="27">
        <v>2003160000</v>
      </c>
      <c r="K7" s="27">
        <v>290000000</v>
      </c>
      <c r="L7" s="28"/>
      <c r="M7" s="28">
        <f t="shared" si="3"/>
        <v>2293160000</v>
      </c>
      <c r="N7" s="27">
        <v>0</v>
      </c>
      <c r="O7" s="27">
        <v>1296820249</v>
      </c>
      <c r="P7" s="28">
        <f t="shared" si="2"/>
        <v>996339751</v>
      </c>
      <c r="Q7" s="27">
        <v>1296820249</v>
      </c>
      <c r="R7" s="29">
        <f t="shared" si="4"/>
        <v>0.56551668832528035</v>
      </c>
      <c r="S7" s="27">
        <v>1296820249</v>
      </c>
      <c r="T7" s="30">
        <v>1296820249</v>
      </c>
    </row>
    <row r="8" spans="1:20" s="16" customFormat="1" ht="15" customHeight="1" x14ac:dyDescent="0.25">
      <c r="A8" s="17" t="s">
        <v>16</v>
      </c>
      <c r="B8" s="24" t="s">
        <v>17</v>
      </c>
      <c r="C8" s="17" t="s">
        <v>17</v>
      </c>
      <c r="D8" s="17" t="s">
        <v>17</v>
      </c>
      <c r="E8" s="17" t="s">
        <v>22</v>
      </c>
      <c r="F8" s="17" t="s">
        <v>28</v>
      </c>
      <c r="G8" s="25" t="s">
        <v>29</v>
      </c>
      <c r="H8" s="17" t="s">
        <v>19</v>
      </c>
      <c r="I8" s="26">
        <v>10</v>
      </c>
      <c r="J8" s="27">
        <v>118207300</v>
      </c>
      <c r="K8" s="27"/>
      <c r="L8" s="28"/>
      <c r="M8" s="28">
        <f t="shared" si="3"/>
        <v>118207300</v>
      </c>
      <c r="N8" s="27">
        <v>0</v>
      </c>
      <c r="O8" s="27">
        <v>109165098</v>
      </c>
      <c r="P8" s="28">
        <f t="shared" si="2"/>
        <v>9042202</v>
      </c>
      <c r="Q8" s="27">
        <v>109165098</v>
      </c>
      <c r="R8" s="29">
        <f t="shared" si="4"/>
        <v>0.923505553379529</v>
      </c>
      <c r="S8" s="27">
        <v>109165098</v>
      </c>
      <c r="T8" s="30">
        <v>109165098</v>
      </c>
    </row>
    <row r="9" spans="1:20" s="16" customFormat="1" ht="15" customHeight="1" x14ac:dyDescent="0.25">
      <c r="A9" s="17" t="s">
        <v>16</v>
      </c>
      <c r="B9" s="24" t="s">
        <v>17</v>
      </c>
      <c r="C9" s="17" t="s">
        <v>17</v>
      </c>
      <c r="D9" s="17" t="s">
        <v>17</v>
      </c>
      <c r="E9" s="17" t="s">
        <v>22</v>
      </c>
      <c r="F9" s="17" t="s">
        <v>30</v>
      </c>
      <c r="G9" s="25" t="s">
        <v>31</v>
      </c>
      <c r="H9" s="17" t="s">
        <v>19</v>
      </c>
      <c r="I9" s="26">
        <v>10</v>
      </c>
      <c r="J9" s="27">
        <v>495633000</v>
      </c>
      <c r="K9" s="27">
        <f>98181253+260000000</f>
        <v>358181253</v>
      </c>
      <c r="L9" s="28"/>
      <c r="M9" s="28">
        <f t="shared" si="3"/>
        <v>853814253</v>
      </c>
      <c r="N9" s="27">
        <f>M9-[1]REP_EPG034_EjecucionPresupuesta!$T$9</f>
        <v>0</v>
      </c>
      <c r="O9" s="27">
        <v>597138862</v>
      </c>
      <c r="P9" s="28">
        <f t="shared" si="2"/>
        <v>256675391</v>
      </c>
      <c r="Q9" s="27">
        <v>597138862</v>
      </c>
      <c r="R9" s="29">
        <f t="shared" si="4"/>
        <v>0.69937795006568015</v>
      </c>
      <c r="S9" s="27">
        <v>597138862</v>
      </c>
      <c r="T9" s="30">
        <v>597138862</v>
      </c>
    </row>
    <row r="10" spans="1:20" s="16" customFormat="1" ht="15" customHeight="1" x14ac:dyDescent="0.25">
      <c r="A10" s="17" t="s">
        <v>16</v>
      </c>
      <c r="B10" s="24" t="s">
        <v>17</v>
      </c>
      <c r="C10" s="17" t="s">
        <v>17</v>
      </c>
      <c r="D10" s="17" t="s">
        <v>17</v>
      </c>
      <c r="E10" s="17" t="s">
        <v>22</v>
      </c>
      <c r="F10" s="17" t="s">
        <v>32</v>
      </c>
      <c r="G10" s="25" t="s">
        <v>33</v>
      </c>
      <c r="H10" s="17" t="s">
        <v>19</v>
      </c>
      <c r="I10" s="26">
        <v>10</v>
      </c>
      <c r="J10" s="27">
        <v>8112947300</v>
      </c>
      <c r="K10" s="27">
        <v>200000000</v>
      </c>
      <c r="L10" s="28"/>
      <c r="M10" s="28">
        <f t="shared" si="3"/>
        <v>8312947300</v>
      </c>
      <c r="N10" s="27">
        <v>0</v>
      </c>
      <c r="O10" s="27">
        <v>8257662786</v>
      </c>
      <c r="P10" s="28">
        <f t="shared" si="2"/>
        <v>55284514</v>
      </c>
      <c r="Q10" s="27">
        <v>8257662786</v>
      </c>
      <c r="R10" s="29">
        <f t="shared" si="4"/>
        <v>0.99334958926059835</v>
      </c>
      <c r="S10" s="27">
        <v>8257662786</v>
      </c>
      <c r="T10" s="30">
        <v>8257662786</v>
      </c>
    </row>
    <row r="11" spans="1:20" s="16" customFormat="1" ht="16.5" customHeight="1" x14ac:dyDescent="0.25">
      <c r="A11" s="17" t="s">
        <v>16</v>
      </c>
      <c r="B11" s="24" t="s">
        <v>17</v>
      </c>
      <c r="C11" s="17" t="s">
        <v>17</v>
      </c>
      <c r="D11" s="17" t="s">
        <v>17</v>
      </c>
      <c r="E11" s="17" t="s">
        <v>22</v>
      </c>
      <c r="F11" s="17" t="s">
        <v>34</v>
      </c>
      <c r="G11" s="25" t="s">
        <v>35</v>
      </c>
      <c r="H11" s="17" t="s">
        <v>19</v>
      </c>
      <c r="I11" s="26">
        <v>10</v>
      </c>
      <c r="J11" s="27">
        <v>5605238900</v>
      </c>
      <c r="K11" s="27"/>
      <c r="L11" s="28"/>
      <c r="M11" s="28">
        <f t="shared" si="3"/>
        <v>5605238900</v>
      </c>
      <c r="N11" s="27">
        <v>0</v>
      </c>
      <c r="O11" s="27">
        <v>4080575852</v>
      </c>
      <c r="P11" s="28">
        <f t="shared" si="2"/>
        <v>1524663048</v>
      </c>
      <c r="Q11" s="27">
        <v>4080575852</v>
      </c>
      <c r="R11" s="29">
        <f t="shared" si="4"/>
        <v>0.72799320863915362</v>
      </c>
      <c r="S11" s="27">
        <v>4080575852</v>
      </c>
      <c r="T11" s="30">
        <v>4080575852</v>
      </c>
    </row>
    <row r="12" spans="1:20" s="16" customFormat="1" ht="16.5" customHeight="1" x14ac:dyDescent="0.25">
      <c r="A12" s="17" t="s">
        <v>16</v>
      </c>
      <c r="B12" s="24" t="s">
        <v>17</v>
      </c>
      <c r="C12" s="17" t="s">
        <v>17</v>
      </c>
      <c r="D12" s="17" t="s">
        <v>17</v>
      </c>
      <c r="E12" s="17" t="s">
        <v>22</v>
      </c>
      <c r="F12" s="17" t="s">
        <v>36</v>
      </c>
      <c r="G12" s="25" t="s">
        <v>37</v>
      </c>
      <c r="H12" s="17" t="s">
        <v>19</v>
      </c>
      <c r="I12" s="26">
        <v>10</v>
      </c>
      <c r="J12" s="27">
        <v>1463012500</v>
      </c>
      <c r="K12" s="27"/>
      <c r="L12" s="28"/>
      <c r="M12" s="28">
        <f t="shared" si="3"/>
        <v>1463012500</v>
      </c>
      <c r="N12" s="27">
        <v>0</v>
      </c>
      <c r="O12" s="27">
        <v>1235754801</v>
      </c>
      <c r="P12" s="28">
        <f t="shared" si="2"/>
        <v>227257699</v>
      </c>
      <c r="Q12" s="27">
        <v>1235754801</v>
      </c>
      <c r="R12" s="29">
        <f t="shared" si="4"/>
        <v>0.84466455413060382</v>
      </c>
      <c r="S12" s="27">
        <v>1235754801</v>
      </c>
      <c r="T12" s="30">
        <v>1235754801</v>
      </c>
    </row>
    <row r="13" spans="1:20" s="16" customFormat="1" ht="16.5" customHeight="1" x14ac:dyDescent="0.25">
      <c r="A13" s="17" t="s">
        <v>16</v>
      </c>
      <c r="B13" s="24" t="s">
        <v>17</v>
      </c>
      <c r="C13" s="17" t="s">
        <v>17</v>
      </c>
      <c r="D13" s="17" t="s">
        <v>17</v>
      </c>
      <c r="E13" s="17" t="s">
        <v>22</v>
      </c>
      <c r="F13" s="17" t="s">
        <v>38</v>
      </c>
      <c r="G13" s="25" t="s">
        <v>39</v>
      </c>
      <c r="H13" s="17" t="s">
        <v>19</v>
      </c>
      <c r="I13" s="26">
        <v>10</v>
      </c>
      <c r="J13" s="27">
        <v>18145035800</v>
      </c>
      <c r="K13" s="27"/>
      <c r="L13" s="28">
        <v>82300000</v>
      </c>
      <c r="M13" s="28">
        <f t="shared" si="3"/>
        <v>18062735800</v>
      </c>
      <c r="N13" s="27">
        <v>0</v>
      </c>
      <c r="O13" s="27">
        <v>217178053</v>
      </c>
      <c r="P13" s="28">
        <f t="shared" si="2"/>
        <v>17845557747</v>
      </c>
      <c r="Q13" s="27">
        <v>217178053</v>
      </c>
      <c r="R13" s="29">
        <f t="shared" si="4"/>
        <v>1.202354147260461E-2</v>
      </c>
      <c r="S13" s="27">
        <v>217178053</v>
      </c>
      <c r="T13" s="30">
        <v>217178053</v>
      </c>
    </row>
    <row r="14" spans="1:20" s="16" customFormat="1" ht="16.5" customHeight="1" x14ac:dyDescent="0.25">
      <c r="A14" s="17" t="s">
        <v>16</v>
      </c>
      <c r="B14" s="24" t="s">
        <v>17</v>
      </c>
      <c r="C14" s="17" t="s">
        <v>17</v>
      </c>
      <c r="D14" s="17" t="s">
        <v>17</v>
      </c>
      <c r="E14" s="17" t="s">
        <v>22</v>
      </c>
      <c r="F14" s="17" t="s">
        <v>40</v>
      </c>
      <c r="G14" s="25" t="s">
        <v>41</v>
      </c>
      <c r="H14" s="17" t="s">
        <v>19</v>
      </c>
      <c r="I14" s="26">
        <v>10</v>
      </c>
      <c r="J14" s="27">
        <v>9194783600</v>
      </c>
      <c r="K14" s="27"/>
      <c r="L14" s="28"/>
      <c r="M14" s="28">
        <f t="shared" si="3"/>
        <v>9194783600</v>
      </c>
      <c r="N14" s="27">
        <v>0</v>
      </c>
      <c r="O14" s="27">
        <v>5082723717</v>
      </c>
      <c r="P14" s="28">
        <f t="shared" si="2"/>
        <v>4112059883</v>
      </c>
      <c r="Q14" s="27">
        <v>5082723717</v>
      </c>
      <c r="R14" s="29">
        <f t="shared" si="4"/>
        <v>0.55278339742547067</v>
      </c>
      <c r="S14" s="27">
        <v>5082723717</v>
      </c>
      <c r="T14" s="31">
        <v>5082723717</v>
      </c>
    </row>
    <row r="15" spans="1:20" s="16" customFormat="1" ht="16.5" customHeight="1" x14ac:dyDescent="0.25">
      <c r="A15" s="17" t="s">
        <v>16</v>
      </c>
      <c r="B15" s="24" t="s">
        <v>17</v>
      </c>
      <c r="C15" s="17" t="s">
        <v>17</v>
      </c>
      <c r="D15" s="17" t="s">
        <v>17</v>
      </c>
      <c r="E15" s="17" t="s">
        <v>24</v>
      </c>
      <c r="F15" s="17" t="s">
        <v>36</v>
      </c>
      <c r="G15" s="25" t="s">
        <v>42</v>
      </c>
      <c r="H15" s="17" t="s">
        <v>19</v>
      </c>
      <c r="I15" s="26">
        <v>10</v>
      </c>
      <c r="J15" s="27">
        <v>40253000</v>
      </c>
      <c r="K15" s="27">
        <v>0</v>
      </c>
      <c r="L15" s="28"/>
      <c r="M15" s="28">
        <f t="shared" si="3"/>
        <v>40253000</v>
      </c>
      <c r="N15" s="27">
        <f>M15-[1]REP_EPG034_EjecucionPresupuesta!$T$15</f>
        <v>0</v>
      </c>
      <c r="O15" s="27">
        <v>25802708</v>
      </c>
      <c r="P15" s="28">
        <f t="shared" si="2"/>
        <v>14450292</v>
      </c>
      <c r="Q15" s="27">
        <v>25802708</v>
      </c>
      <c r="R15" s="29">
        <f t="shared" si="4"/>
        <v>0.64101329093483717</v>
      </c>
      <c r="S15" s="27">
        <v>25802708</v>
      </c>
      <c r="T15" s="31">
        <v>25802708</v>
      </c>
    </row>
    <row r="16" spans="1:20" s="16" customFormat="1" ht="16.5" customHeight="1" x14ac:dyDescent="0.25">
      <c r="A16" s="17" t="s">
        <v>16</v>
      </c>
      <c r="B16" s="24" t="s">
        <v>17</v>
      </c>
      <c r="C16" s="17" t="s">
        <v>17</v>
      </c>
      <c r="D16" s="17" t="s">
        <v>17</v>
      </c>
      <c r="E16" s="17" t="s">
        <v>24</v>
      </c>
      <c r="F16" s="17" t="s">
        <v>43</v>
      </c>
      <c r="G16" s="25" t="s">
        <v>44</v>
      </c>
      <c r="H16" s="17" t="s">
        <v>19</v>
      </c>
      <c r="I16" s="26">
        <v>10</v>
      </c>
      <c r="J16" s="27">
        <v>17544200</v>
      </c>
      <c r="K16" s="27"/>
      <c r="L16" s="28">
        <v>15881253</v>
      </c>
      <c r="M16" s="28">
        <f t="shared" si="3"/>
        <v>1662947</v>
      </c>
      <c r="N16" s="28">
        <v>0</v>
      </c>
      <c r="O16" s="27">
        <v>1662947</v>
      </c>
      <c r="P16" s="28">
        <f t="shared" si="2"/>
        <v>0</v>
      </c>
      <c r="Q16" s="27">
        <v>1662947</v>
      </c>
      <c r="R16" s="29">
        <f t="shared" si="4"/>
        <v>1</v>
      </c>
      <c r="S16" s="27">
        <v>1662947</v>
      </c>
      <c r="T16" s="31">
        <v>1662947</v>
      </c>
    </row>
    <row r="17" spans="1:21" s="16" customFormat="1" ht="16.5" customHeight="1" x14ac:dyDescent="0.25">
      <c r="A17" s="17" t="s">
        <v>16</v>
      </c>
      <c r="B17" s="24" t="s">
        <v>17</v>
      </c>
      <c r="C17" s="17" t="s">
        <v>17</v>
      </c>
      <c r="D17" s="17" t="s">
        <v>17</v>
      </c>
      <c r="E17" s="17" t="s">
        <v>24</v>
      </c>
      <c r="F17" s="17" t="s">
        <v>45</v>
      </c>
      <c r="G17" s="25" t="s">
        <v>46</v>
      </c>
      <c r="H17" s="17" t="s">
        <v>19</v>
      </c>
      <c r="I17" s="26">
        <v>10</v>
      </c>
      <c r="J17" s="27">
        <v>14844096100</v>
      </c>
      <c r="K17" s="27"/>
      <c r="L17" s="28"/>
      <c r="M17" s="28">
        <f t="shared" si="3"/>
        <v>14844096100</v>
      </c>
      <c r="N17" s="27">
        <v>0</v>
      </c>
      <c r="O17" s="27">
        <v>8179891658</v>
      </c>
      <c r="P17" s="28">
        <f t="shared" si="2"/>
        <v>6664204442</v>
      </c>
      <c r="Q17" s="27">
        <v>8179891658</v>
      </c>
      <c r="R17" s="29">
        <f t="shared" si="4"/>
        <v>0.55105353690077497</v>
      </c>
      <c r="S17" s="28">
        <v>8179891658</v>
      </c>
      <c r="T17" s="31">
        <v>8179891658</v>
      </c>
    </row>
    <row r="18" spans="1:21" s="36" customFormat="1" ht="16.5" customHeight="1" x14ac:dyDescent="0.25">
      <c r="A18" s="7" t="s">
        <v>16</v>
      </c>
      <c r="B18" s="8" t="s">
        <v>17</v>
      </c>
      <c r="C18" s="7" t="s">
        <v>17</v>
      </c>
      <c r="D18" s="7" t="s">
        <v>47</v>
      </c>
      <c r="E18" s="7"/>
      <c r="F18" s="7"/>
      <c r="G18" s="18" t="s">
        <v>48</v>
      </c>
      <c r="H18" s="7" t="s">
        <v>19</v>
      </c>
      <c r="I18" s="32">
        <v>10</v>
      </c>
      <c r="J18" s="20">
        <f t="shared" ref="J18:Q18" si="5">SUM(J19:J25)</f>
        <v>96379995000</v>
      </c>
      <c r="K18" s="20">
        <f t="shared" si="5"/>
        <v>0</v>
      </c>
      <c r="L18" s="20">
        <f t="shared" si="5"/>
        <v>0</v>
      </c>
      <c r="M18" s="20">
        <f t="shared" si="5"/>
        <v>96379995000</v>
      </c>
      <c r="N18" s="22">
        <f t="shared" si="5"/>
        <v>0</v>
      </c>
      <c r="O18" s="22">
        <f t="shared" si="5"/>
        <v>58650596220</v>
      </c>
      <c r="P18" s="20">
        <f t="shared" si="5"/>
        <v>37729398780</v>
      </c>
      <c r="Q18" s="22">
        <f t="shared" si="5"/>
        <v>58650596220</v>
      </c>
      <c r="R18" s="29">
        <f t="shared" si="4"/>
        <v>0.60853495811034231</v>
      </c>
      <c r="S18" s="22">
        <f>SUM(S19:S25)</f>
        <v>55883350220</v>
      </c>
      <c r="T18" s="34">
        <f>SUM(T19:T25)</f>
        <v>55883350220</v>
      </c>
      <c r="U18" s="35"/>
    </row>
    <row r="19" spans="1:21" s="16" customFormat="1" ht="16.5" customHeight="1" x14ac:dyDescent="0.25">
      <c r="A19" s="17" t="s">
        <v>16</v>
      </c>
      <c r="B19" s="24" t="s">
        <v>17</v>
      </c>
      <c r="C19" s="17" t="s">
        <v>17</v>
      </c>
      <c r="D19" s="17" t="s">
        <v>47</v>
      </c>
      <c r="E19" s="17" t="s">
        <v>22</v>
      </c>
      <c r="F19" s="17"/>
      <c r="G19" s="25" t="s">
        <v>49</v>
      </c>
      <c r="H19" s="17" t="s">
        <v>19</v>
      </c>
      <c r="I19" s="26">
        <v>10</v>
      </c>
      <c r="J19" s="27">
        <v>25795744700</v>
      </c>
      <c r="K19" s="27"/>
      <c r="L19" s="28"/>
      <c r="M19" s="28">
        <f t="shared" ref="M19:M25" si="6">J19+K19-L19</f>
        <v>25795744700</v>
      </c>
      <c r="N19" s="28">
        <v>0</v>
      </c>
      <c r="O19" s="27">
        <v>17120449900</v>
      </c>
      <c r="P19" s="28">
        <f t="shared" ref="P19:P25" si="7">+M19-O19-N19</f>
        <v>8675294800</v>
      </c>
      <c r="Q19" s="27">
        <v>17120449900</v>
      </c>
      <c r="R19" s="29">
        <f t="shared" si="4"/>
        <v>0.66369279503684964</v>
      </c>
      <c r="S19" s="27">
        <v>17120449900</v>
      </c>
      <c r="T19" s="31">
        <v>17120449900</v>
      </c>
    </row>
    <row r="20" spans="1:21" s="16" customFormat="1" ht="16.5" customHeight="1" x14ac:dyDescent="0.25">
      <c r="A20" s="17" t="s">
        <v>16</v>
      </c>
      <c r="B20" s="24" t="s">
        <v>17</v>
      </c>
      <c r="C20" s="17" t="s">
        <v>17</v>
      </c>
      <c r="D20" s="17" t="s">
        <v>47</v>
      </c>
      <c r="E20" s="17" t="s">
        <v>24</v>
      </c>
      <c r="F20" s="17"/>
      <c r="G20" s="25" t="s">
        <v>50</v>
      </c>
      <c r="H20" s="17" t="s">
        <v>19</v>
      </c>
      <c r="I20" s="26">
        <v>10</v>
      </c>
      <c r="J20" s="27">
        <v>18459485800</v>
      </c>
      <c r="K20" s="27"/>
      <c r="L20" s="28"/>
      <c r="M20" s="28">
        <f t="shared" si="6"/>
        <v>18459485800</v>
      </c>
      <c r="N20" s="27">
        <v>0</v>
      </c>
      <c r="O20" s="27">
        <v>12046366400</v>
      </c>
      <c r="P20" s="28">
        <f t="shared" si="7"/>
        <v>6413119400</v>
      </c>
      <c r="Q20" s="27">
        <v>12046366400</v>
      </c>
      <c r="R20" s="29">
        <f t="shared" si="4"/>
        <v>0.65258407143713615</v>
      </c>
      <c r="S20" s="27">
        <v>12046366400</v>
      </c>
      <c r="T20" s="31">
        <v>12046366400</v>
      </c>
    </row>
    <row r="21" spans="1:21" s="16" customFormat="1" ht="16.5" customHeight="1" x14ac:dyDescent="0.25">
      <c r="A21" s="17" t="s">
        <v>16</v>
      </c>
      <c r="B21" s="24" t="s">
        <v>17</v>
      </c>
      <c r="C21" s="17" t="s">
        <v>17</v>
      </c>
      <c r="D21" s="17" t="s">
        <v>47</v>
      </c>
      <c r="E21" s="17" t="s">
        <v>26</v>
      </c>
      <c r="F21" s="17"/>
      <c r="G21" s="25" t="s">
        <v>51</v>
      </c>
      <c r="H21" s="17" t="s">
        <v>19</v>
      </c>
      <c r="I21" s="26">
        <v>10</v>
      </c>
      <c r="J21" s="27">
        <v>21878763500</v>
      </c>
      <c r="K21" s="27"/>
      <c r="L21" s="28"/>
      <c r="M21" s="28">
        <f t="shared" si="6"/>
        <v>21878763500</v>
      </c>
      <c r="N21" s="27">
        <v>0</v>
      </c>
      <c r="O21" s="27">
        <v>6308256920</v>
      </c>
      <c r="P21" s="28">
        <f t="shared" si="7"/>
        <v>15570506580</v>
      </c>
      <c r="Q21" s="27">
        <v>6308256920</v>
      </c>
      <c r="R21" s="29">
        <f t="shared" si="4"/>
        <v>0.28832785362847402</v>
      </c>
      <c r="S21" s="27">
        <v>6308256920</v>
      </c>
      <c r="T21" s="31">
        <v>6308256920</v>
      </c>
    </row>
    <row r="22" spans="1:21" s="16" customFormat="1" ht="16.5" customHeight="1" x14ac:dyDescent="0.25">
      <c r="A22" s="17" t="s">
        <v>16</v>
      </c>
      <c r="B22" s="24" t="s">
        <v>17</v>
      </c>
      <c r="C22" s="17" t="s">
        <v>17</v>
      </c>
      <c r="D22" s="17" t="s">
        <v>47</v>
      </c>
      <c r="E22" s="17" t="s">
        <v>28</v>
      </c>
      <c r="F22" s="17"/>
      <c r="G22" s="25" t="s">
        <v>52</v>
      </c>
      <c r="H22" s="17" t="s">
        <v>19</v>
      </c>
      <c r="I22" s="26">
        <v>10</v>
      </c>
      <c r="J22" s="27">
        <v>9372572600</v>
      </c>
      <c r="K22" s="27"/>
      <c r="L22" s="28"/>
      <c r="M22" s="28">
        <f t="shared" si="6"/>
        <v>9372572600</v>
      </c>
      <c r="N22" s="27">
        <v>0</v>
      </c>
      <c r="O22" s="27">
        <v>6236408300</v>
      </c>
      <c r="P22" s="28">
        <f t="shared" si="7"/>
        <v>3136164300</v>
      </c>
      <c r="Q22" s="27">
        <v>6236408300</v>
      </c>
      <c r="R22" s="29">
        <f t="shared" si="4"/>
        <v>0.66538916967151585</v>
      </c>
      <c r="S22" s="27">
        <v>6236408300</v>
      </c>
      <c r="T22" s="31">
        <v>6236408300</v>
      </c>
    </row>
    <row r="23" spans="1:21" s="16" customFormat="1" ht="16.5" customHeight="1" x14ac:dyDescent="0.25">
      <c r="A23" s="17" t="s">
        <v>16</v>
      </c>
      <c r="B23" s="24" t="s">
        <v>17</v>
      </c>
      <c r="C23" s="17" t="s">
        <v>17</v>
      </c>
      <c r="D23" s="17" t="s">
        <v>47</v>
      </c>
      <c r="E23" s="17" t="s">
        <v>30</v>
      </c>
      <c r="F23" s="17"/>
      <c r="G23" s="25" t="s">
        <v>53</v>
      </c>
      <c r="H23" s="17" t="s">
        <v>19</v>
      </c>
      <c r="I23" s="26" t="s">
        <v>21</v>
      </c>
      <c r="J23" s="27">
        <v>9142712700</v>
      </c>
      <c r="K23" s="27"/>
      <c r="L23" s="28"/>
      <c r="M23" s="28">
        <f t="shared" si="6"/>
        <v>9142712700</v>
      </c>
      <c r="N23" s="27">
        <v>0</v>
      </c>
      <c r="O23" s="27">
        <v>9142712700</v>
      </c>
      <c r="P23" s="28">
        <f t="shared" si="7"/>
        <v>0</v>
      </c>
      <c r="Q23" s="27">
        <v>9142712700</v>
      </c>
      <c r="R23" s="29">
        <f t="shared" si="4"/>
        <v>1</v>
      </c>
      <c r="S23" s="27">
        <v>6375466700</v>
      </c>
      <c r="T23" s="31">
        <v>6375466700</v>
      </c>
    </row>
    <row r="24" spans="1:21" s="16" customFormat="1" ht="16.5" customHeight="1" x14ac:dyDescent="0.25">
      <c r="A24" s="17" t="s">
        <v>16</v>
      </c>
      <c r="B24" s="24" t="s">
        <v>17</v>
      </c>
      <c r="C24" s="17" t="s">
        <v>17</v>
      </c>
      <c r="D24" s="17" t="s">
        <v>47</v>
      </c>
      <c r="E24" s="17" t="s">
        <v>32</v>
      </c>
      <c r="F24" s="17"/>
      <c r="G24" s="25" t="s">
        <v>54</v>
      </c>
      <c r="H24" s="17" t="s">
        <v>19</v>
      </c>
      <c r="I24" s="26" t="s">
        <v>21</v>
      </c>
      <c r="J24" s="27">
        <v>6994429400</v>
      </c>
      <c r="K24" s="27"/>
      <c r="L24" s="28"/>
      <c r="M24" s="28">
        <f t="shared" si="6"/>
        <v>6994429400</v>
      </c>
      <c r="N24" s="27">
        <v>0</v>
      </c>
      <c r="O24" s="27">
        <v>4677640500</v>
      </c>
      <c r="P24" s="28">
        <f t="shared" si="7"/>
        <v>2316788900</v>
      </c>
      <c r="Q24" s="27">
        <v>4677640500</v>
      </c>
      <c r="R24" s="29">
        <f t="shared" si="4"/>
        <v>0.66876656157255654</v>
      </c>
      <c r="S24" s="27">
        <v>4677640500</v>
      </c>
      <c r="T24" s="31">
        <v>4677640500</v>
      </c>
    </row>
    <row r="25" spans="1:21" s="16" customFormat="1" ht="16.5" customHeight="1" x14ac:dyDescent="0.25">
      <c r="A25" s="17" t="s">
        <v>16</v>
      </c>
      <c r="B25" s="17" t="s">
        <v>17</v>
      </c>
      <c r="C25" s="17" t="s">
        <v>17</v>
      </c>
      <c r="D25" s="17" t="s">
        <v>47</v>
      </c>
      <c r="E25" s="17" t="s">
        <v>34</v>
      </c>
      <c r="F25" s="17"/>
      <c r="G25" s="25" t="s">
        <v>55</v>
      </c>
      <c r="H25" s="17" t="s">
        <v>19</v>
      </c>
      <c r="I25" s="26" t="s">
        <v>21</v>
      </c>
      <c r="J25" s="27">
        <v>4736286300</v>
      </c>
      <c r="K25" s="27"/>
      <c r="L25" s="28"/>
      <c r="M25" s="28">
        <f t="shared" si="6"/>
        <v>4736286300</v>
      </c>
      <c r="N25" s="27">
        <v>0</v>
      </c>
      <c r="O25" s="27">
        <v>3118761500</v>
      </c>
      <c r="P25" s="28">
        <f t="shared" si="7"/>
        <v>1617524800</v>
      </c>
      <c r="Q25" s="27">
        <v>3118761500</v>
      </c>
      <c r="R25" s="29">
        <f t="shared" si="4"/>
        <v>0.6584824696936078</v>
      </c>
      <c r="S25" s="27">
        <v>3118761500</v>
      </c>
      <c r="T25" s="31">
        <v>3118761500</v>
      </c>
    </row>
    <row r="26" spans="1:21" s="36" customFormat="1" ht="16.5" customHeight="1" x14ac:dyDescent="0.25">
      <c r="A26" s="7" t="s">
        <v>16</v>
      </c>
      <c r="B26" s="7" t="s">
        <v>17</v>
      </c>
      <c r="C26" s="7" t="s">
        <v>17</v>
      </c>
      <c r="D26" s="7" t="s">
        <v>56</v>
      </c>
      <c r="E26" s="7"/>
      <c r="F26" s="7"/>
      <c r="G26" s="18" t="s">
        <v>57</v>
      </c>
      <c r="H26" s="7" t="s">
        <v>19</v>
      </c>
      <c r="I26" s="19" t="s">
        <v>21</v>
      </c>
      <c r="J26" s="20">
        <f>J27+J28+J29+J30+J31+J32</f>
        <v>18754070000</v>
      </c>
      <c r="K26" s="20">
        <f>K27+K28+K29+K30+K31+K32</f>
        <v>361500000</v>
      </c>
      <c r="L26" s="20">
        <f>L27+L28+L29+L30+L31+L32</f>
        <v>361500000</v>
      </c>
      <c r="M26" s="20">
        <f>M27+M28+M29+M30+M31+M32</f>
        <v>18754070000</v>
      </c>
      <c r="N26" s="22">
        <v>0</v>
      </c>
      <c r="O26" s="22">
        <f>O27+O28+O29+O30+O31+O32</f>
        <v>10437558025</v>
      </c>
      <c r="P26" s="20">
        <f>P27+P28+P29+P30+P31+P32</f>
        <v>8316511975</v>
      </c>
      <c r="Q26" s="22">
        <f>Q27+Q28+Q29+Q30+Q31+Q32</f>
        <v>10437558025</v>
      </c>
      <c r="R26" s="123">
        <f t="shared" si="4"/>
        <v>0.5565489531072455</v>
      </c>
      <c r="S26" s="20">
        <f>S27+S28+S29+S30+S31+S32</f>
        <v>10437558025</v>
      </c>
      <c r="T26" s="34">
        <f>T27+T28+T29+T30+T31+T32</f>
        <v>10437558025</v>
      </c>
    </row>
    <row r="27" spans="1:21" s="16" customFormat="1" ht="16.5" customHeight="1" x14ac:dyDescent="0.25">
      <c r="A27" s="17" t="s">
        <v>16</v>
      </c>
      <c r="B27" s="17" t="s">
        <v>17</v>
      </c>
      <c r="C27" s="17" t="s">
        <v>17</v>
      </c>
      <c r="D27" s="17" t="s">
        <v>56</v>
      </c>
      <c r="E27" s="17" t="s">
        <v>22</v>
      </c>
      <c r="F27" s="17" t="s">
        <v>22</v>
      </c>
      <c r="G27" s="25" t="s">
        <v>58</v>
      </c>
      <c r="H27" s="17" t="s">
        <v>19</v>
      </c>
      <c r="I27" s="26" t="s">
        <v>21</v>
      </c>
      <c r="J27" s="27">
        <v>15324639437</v>
      </c>
      <c r="K27" s="27"/>
      <c r="L27" s="28">
        <f>111000000+131000000+119500000</f>
        <v>361500000</v>
      </c>
      <c r="M27" s="28">
        <f t="shared" ref="M27:M32" si="8">J27+K27-L27</f>
        <v>14963139437</v>
      </c>
      <c r="N27" s="27">
        <v>0</v>
      </c>
      <c r="O27" s="27">
        <v>8054405268</v>
      </c>
      <c r="P27" s="28">
        <f t="shared" ref="P27:P32" si="9">+M27-O27-N27</f>
        <v>6908734169</v>
      </c>
      <c r="Q27" s="27">
        <v>8054405268</v>
      </c>
      <c r="R27" s="29">
        <f t="shared" si="4"/>
        <v>0.53828311243852511</v>
      </c>
      <c r="S27" s="27">
        <v>8054405268</v>
      </c>
      <c r="T27" s="31">
        <v>8054405268</v>
      </c>
    </row>
    <row r="28" spans="1:21" s="16" customFormat="1" ht="16.5" customHeight="1" x14ac:dyDescent="0.25">
      <c r="A28" s="17" t="s">
        <v>16</v>
      </c>
      <c r="B28" s="17" t="s">
        <v>17</v>
      </c>
      <c r="C28" s="17" t="s">
        <v>17</v>
      </c>
      <c r="D28" s="17" t="s">
        <v>56</v>
      </c>
      <c r="E28" s="17" t="s">
        <v>22</v>
      </c>
      <c r="F28" s="24" t="s">
        <v>24</v>
      </c>
      <c r="G28" s="25" t="s">
        <v>59</v>
      </c>
      <c r="H28" s="17" t="s">
        <v>19</v>
      </c>
      <c r="I28" s="26" t="s">
        <v>21</v>
      </c>
      <c r="J28" s="27">
        <v>311641107</v>
      </c>
      <c r="K28" s="27">
        <v>119500000</v>
      </c>
      <c r="L28" s="28"/>
      <c r="M28" s="28">
        <f t="shared" si="8"/>
        <v>431141107</v>
      </c>
      <c r="N28" s="27">
        <v>0</v>
      </c>
      <c r="O28" s="27">
        <v>408245842</v>
      </c>
      <c r="P28" s="28">
        <f t="shared" si="9"/>
        <v>22895265</v>
      </c>
      <c r="Q28" s="27">
        <v>408245842</v>
      </c>
      <c r="R28" s="29">
        <f>IF(Q28&gt;1,Q28/(M28),0)</f>
        <v>0.94689612141298329</v>
      </c>
      <c r="S28" s="27">
        <v>408245842</v>
      </c>
      <c r="T28" s="31">
        <v>408245842</v>
      </c>
    </row>
    <row r="29" spans="1:21" s="16" customFormat="1" ht="16.5" customHeight="1" x14ac:dyDescent="0.25">
      <c r="A29" s="17" t="s">
        <v>16</v>
      </c>
      <c r="B29" s="24" t="s">
        <v>17</v>
      </c>
      <c r="C29" s="17" t="s">
        <v>17</v>
      </c>
      <c r="D29" s="17" t="s">
        <v>56</v>
      </c>
      <c r="E29" s="17" t="s">
        <v>22</v>
      </c>
      <c r="F29" s="24" t="s">
        <v>26</v>
      </c>
      <c r="G29" s="25" t="s">
        <v>60</v>
      </c>
      <c r="H29" s="17" t="s">
        <v>19</v>
      </c>
      <c r="I29" s="26" t="s">
        <v>21</v>
      </c>
      <c r="J29" s="27">
        <v>1048453709</v>
      </c>
      <c r="K29" s="27"/>
      <c r="L29" s="28"/>
      <c r="M29" s="28">
        <f t="shared" si="8"/>
        <v>1048453709</v>
      </c>
      <c r="N29" s="27">
        <v>0</v>
      </c>
      <c r="O29" s="27">
        <v>582523620</v>
      </c>
      <c r="P29" s="28">
        <f t="shared" si="9"/>
        <v>465930089</v>
      </c>
      <c r="Q29" s="27">
        <v>582523620</v>
      </c>
      <c r="R29" s="29">
        <f>IF(Q29&gt;1,Q29/(M29),0)</f>
        <v>0.55560261268530642</v>
      </c>
      <c r="S29" s="27">
        <v>582523620</v>
      </c>
      <c r="T29" s="31">
        <v>582523620</v>
      </c>
    </row>
    <row r="30" spans="1:21" s="16" customFormat="1" ht="16.5" customHeight="1" x14ac:dyDescent="0.25">
      <c r="A30" s="17" t="s">
        <v>16</v>
      </c>
      <c r="B30" s="17" t="s">
        <v>17</v>
      </c>
      <c r="C30" s="17" t="s">
        <v>17</v>
      </c>
      <c r="D30" s="17" t="s">
        <v>56</v>
      </c>
      <c r="E30" s="17" t="s">
        <v>24</v>
      </c>
      <c r="F30" s="17"/>
      <c r="G30" s="25" t="s">
        <v>61</v>
      </c>
      <c r="H30" s="17" t="s">
        <v>19</v>
      </c>
      <c r="I30" s="26" t="s">
        <v>21</v>
      </c>
      <c r="J30" s="27">
        <v>454335960</v>
      </c>
      <c r="K30" s="27">
        <v>32000000</v>
      </c>
      <c r="L30" s="28"/>
      <c r="M30" s="28">
        <f t="shared" si="8"/>
        <v>486335960</v>
      </c>
      <c r="N30" s="27">
        <v>0</v>
      </c>
      <c r="O30" s="27">
        <v>314476254</v>
      </c>
      <c r="P30" s="28">
        <f t="shared" si="9"/>
        <v>171859706</v>
      </c>
      <c r="Q30" s="27">
        <v>314476254</v>
      </c>
      <c r="R30" s="29">
        <f t="shared" si="4"/>
        <v>0.64662348636526901</v>
      </c>
      <c r="S30" s="27">
        <v>314476254</v>
      </c>
      <c r="T30" s="31">
        <v>314476254</v>
      </c>
    </row>
    <row r="31" spans="1:21" s="16" customFormat="1" ht="16.5" customHeight="1" x14ac:dyDescent="0.25">
      <c r="A31" s="17" t="s">
        <v>16</v>
      </c>
      <c r="B31" s="17" t="s">
        <v>17</v>
      </c>
      <c r="C31" s="17" t="s">
        <v>17</v>
      </c>
      <c r="D31" s="17" t="s">
        <v>56</v>
      </c>
      <c r="E31" s="17" t="s">
        <v>62</v>
      </c>
      <c r="F31" s="17"/>
      <c r="G31" s="25" t="s">
        <v>63</v>
      </c>
      <c r="H31" s="17" t="s">
        <v>19</v>
      </c>
      <c r="I31" s="26" t="s">
        <v>21</v>
      </c>
      <c r="J31" s="27">
        <v>1520168203</v>
      </c>
      <c r="K31" s="27">
        <f>79000000+131000000</f>
        <v>210000000</v>
      </c>
      <c r="L31" s="28"/>
      <c r="M31" s="28">
        <f t="shared" si="8"/>
        <v>1730168203</v>
      </c>
      <c r="N31" s="27">
        <v>0</v>
      </c>
      <c r="O31" s="27">
        <v>1027172149</v>
      </c>
      <c r="P31" s="28">
        <f t="shared" si="9"/>
        <v>702996054</v>
      </c>
      <c r="Q31" s="27">
        <v>1027172149</v>
      </c>
      <c r="R31" s="29">
        <f>IF(Q31&gt;1,Q31/(M31),0)</f>
        <v>0.59368340443371337</v>
      </c>
      <c r="S31" s="27">
        <v>1027172149</v>
      </c>
      <c r="T31" s="31">
        <v>1027172149</v>
      </c>
    </row>
    <row r="32" spans="1:21" s="16" customFormat="1" ht="16.5" customHeight="1" x14ac:dyDescent="0.25">
      <c r="A32" s="17" t="s">
        <v>16</v>
      </c>
      <c r="B32" s="17" t="s">
        <v>17</v>
      </c>
      <c r="C32" s="17" t="s">
        <v>17</v>
      </c>
      <c r="D32" s="17" t="s">
        <v>56</v>
      </c>
      <c r="E32" s="17" t="s">
        <v>64</v>
      </c>
      <c r="F32" s="17"/>
      <c r="G32" s="25" t="s">
        <v>65</v>
      </c>
      <c r="H32" s="17" t="s">
        <v>19</v>
      </c>
      <c r="I32" s="26">
        <v>10</v>
      </c>
      <c r="J32" s="27">
        <v>94831584</v>
      </c>
      <c r="K32" s="27"/>
      <c r="L32" s="28"/>
      <c r="M32" s="28">
        <f t="shared" si="8"/>
        <v>94831584</v>
      </c>
      <c r="N32" s="27">
        <v>0</v>
      </c>
      <c r="O32" s="27">
        <v>50734892</v>
      </c>
      <c r="P32" s="28">
        <f t="shared" si="9"/>
        <v>44096692</v>
      </c>
      <c r="Q32" s="27">
        <v>50734892</v>
      </c>
      <c r="R32" s="29">
        <f>IF(Q32&gt;1,Q32/(M32),0)</f>
        <v>0.53499994263514572</v>
      </c>
      <c r="S32" s="27">
        <v>50734892</v>
      </c>
      <c r="T32" s="31">
        <v>50734892</v>
      </c>
    </row>
    <row r="33" spans="1:21" ht="16.5" customHeight="1" x14ac:dyDescent="0.25">
      <c r="A33" s="37" t="s">
        <v>16</v>
      </c>
      <c r="B33" s="37" t="s">
        <v>17</v>
      </c>
      <c r="C33" s="37"/>
      <c r="D33" s="37"/>
      <c r="E33" s="37"/>
      <c r="F33" s="37"/>
      <c r="G33" s="38" t="s">
        <v>66</v>
      </c>
      <c r="H33" s="37" t="s">
        <v>19</v>
      </c>
      <c r="I33" s="39" t="s">
        <v>21</v>
      </c>
      <c r="J33" s="40">
        <f t="shared" ref="J33:P33" si="10">J3</f>
        <v>349572344000</v>
      </c>
      <c r="K33" s="40">
        <f t="shared" si="10"/>
        <v>1209681253</v>
      </c>
      <c r="L33" s="40">
        <f t="shared" si="10"/>
        <v>1209681253</v>
      </c>
      <c r="M33" s="40">
        <f t="shared" si="10"/>
        <v>349572344000</v>
      </c>
      <c r="N33" s="40">
        <f t="shared" si="10"/>
        <v>0</v>
      </c>
      <c r="O33" s="40">
        <f t="shared" si="10"/>
        <v>213788125591</v>
      </c>
      <c r="P33" s="40">
        <f t="shared" si="10"/>
        <v>135784218409</v>
      </c>
      <c r="Q33" s="40">
        <f>Q3</f>
        <v>213788125591</v>
      </c>
      <c r="R33" s="41">
        <f>IF(Q33&gt;1,Q33/(M33),0)</f>
        <v>0.61157047821551924</v>
      </c>
      <c r="S33" s="40">
        <f>S3</f>
        <v>211020879591</v>
      </c>
      <c r="T33" s="42">
        <f>T3</f>
        <v>211020879591</v>
      </c>
      <c r="U33" s="43"/>
    </row>
    <row r="34" spans="1:21" ht="15" customHeight="1" x14ac:dyDescent="0.25">
      <c r="A34" s="129" t="s">
        <v>67</v>
      </c>
      <c r="B34" s="129"/>
      <c r="C34" s="129"/>
      <c r="D34" s="129"/>
      <c r="E34" s="129"/>
      <c r="F34" s="129"/>
      <c r="G34" s="129"/>
      <c r="H34" s="129"/>
      <c r="I34" s="129"/>
      <c r="J34" s="44">
        <f>J33</f>
        <v>349572344000</v>
      </c>
      <c r="K34" s="44">
        <f>K33</f>
        <v>1209681253</v>
      </c>
      <c r="L34" s="44">
        <f>L33</f>
        <v>1209681253</v>
      </c>
      <c r="M34" s="44">
        <f>M33</f>
        <v>349572344000</v>
      </c>
      <c r="N34" s="44"/>
      <c r="O34" s="44">
        <f>O33</f>
        <v>213788125591</v>
      </c>
      <c r="P34" s="44">
        <f>P33</f>
        <v>135784218409</v>
      </c>
      <c r="Q34" s="44">
        <f>Q33</f>
        <v>213788125591</v>
      </c>
      <c r="R34" s="41">
        <f>IF(Q34&gt;1,Q34/(M34),0)</f>
        <v>0.61157047821551924</v>
      </c>
      <c r="S34" s="44">
        <f>S33</f>
        <v>211020879591</v>
      </c>
      <c r="T34" s="45">
        <f>T33</f>
        <v>211020879591</v>
      </c>
    </row>
    <row r="35" spans="1:21" ht="15.75" customHeight="1" x14ac:dyDescent="0.25">
      <c r="A35" s="126" t="s">
        <v>68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</row>
    <row r="36" spans="1:21" ht="15.75" customHeight="1" x14ac:dyDescent="0.25">
      <c r="A36" s="46" t="s">
        <v>16</v>
      </c>
      <c r="B36" s="7" t="s">
        <v>47</v>
      </c>
      <c r="C36" s="7" t="s">
        <v>17</v>
      </c>
      <c r="D36" s="7"/>
      <c r="E36" s="7"/>
      <c r="F36" s="7"/>
      <c r="G36" s="18" t="s">
        <v>69</v>
      </c>
      <c r="H36" s="7" t="s">
        <v>19</v>
      </c>
      <c r="I36" s="19">
        <v>10</v>
      </c>
      <c r="J36" s="47">
        <f t="shared" ref="J36:Q36" si="11">J37+J38+J39+J40+J41+J43+J42+J44</f>
        <v>894100000</v>
      </c>
      <c r="K36" s="47">
        <f t="shared" si="11"/>
        <v>403510286</v>
      </c>
      <c r="L36" s="47">
        <f t="shared" si="11"/>
        <v>569179158</v>
      </c>
      <c r="M36" s="47">
        <f t="shared" si="11"/>
        <v>728431128</v>
      </c>
      <c r="N36" s="47">
        <f t="shared" si="11"/>
        <v>0</v>
      </c>
      <c r="O36" s="47">
        <f t="shared" si="11"/>
        <v>566099316.37</v>
      </c>
      <c r="P36" s="47">
        <f t="shared" si="11"/>
        <v>162331811.63</v>
      </c>
      <c r="Q36" s="47">
        <f t="shared" si="11"/>
        <v>301532216.37</v>
      </c>
      <c r="R36" s="48">
        <f>IF(Q36&gt;1,Q36/(M36),0)</f>
        <v>0.41394746157800111</v>
      </c>
      <c r="S36" s="47">
        <f>S37+S38+S39+S40+S41+S43+S42+S44</f>
        <v>138175136.37</v>
      </c>
      <c r="T36" s="47">
        <f>T37+T38+T39+T40+T41+T43+T42+T44</f>
        <v>138175136.37</v>
      </c>
    </row>
    <row r="37" spans="1:21" ht="15.75" customHeight="1" x14ac:dyDescent="0.25">
      <c r="A37" s="49" t="s">
        <v>16</v>
      </c>
      <c r="B37" s="17" t="s">
        <v>47</v>
      </c>
      <c r="C37" s="17" t="s">
        <v>17</v>
      </c>
      <c r="D37" s="17" t="s">
        <v>17</v>
      </c>
      <c r="E37" s="24" t="s">
        <v>26</v>
      </c>
      <c r="F37" s="24" t="s">
        <v>36</v>
      </c>
      <c r="G37" s="25" t="s">
        <v>70</v>
      </c>
      <c r="H37" s="17" t="s">
        <v>19</v>
      </c>
      <c r="I37" s="26">
        <v>10</v>
      </c>
      <c r="J37" s="50">
        <v>321500000</v>
      </c>
      <c r="K37" s="50">
        <f>2463202+28000000+15000000+75668582+25000000+20000000</f>
        <v>166131784</v>
      </c>
      <c r="L37" s="50">
        <f>14482730+17021000+2619265+135950000+359521+669937</f>
        <v>171102453</v>
      </c>
      <c r="M37" s="50">
        <f t="shared" ref="M37:M44" si="12">J37+K37-L37</f>
        <v>316529331</v>
      </c>
      <c r="N37" s="50"/>
      <c r="O37" s="50">
        <v>255603316</v>
      </c>
      <c r="P37" s="28">
        <f t="shared" ref="P37:P44" si="13">+M37-O37-N37</f>
        <v>60926015</v>
      </c>
      <c r="Q37" s="28">
        <v>210103316</v>
      </c>
      <c r="R37" s="51">
        <f>IF(Q37&gt;1,Q37/(M37),0)</f>
        <v>0.66377202812841374</v>
      </c>
      <c r="S37" s="50">
        <v>103484416</v>
      </c>
      <c r="T37" s="52">
        <v>103484416</v>
      </c>
    </row>
    <row r="38" spans="1:21" ht="15.75" customHeight="1" x14ac:dyDescent="0.25">
      <c r="A38" s="49" t="s">
        <v>16</v>
      </c>
      <c r="B38" s="53" t="s">
        <v>47</v>
      </c>
      <c r="C38" s="17" t="s">
        <v>17</v>
      </c>
      <c r="D38" s="17" t="s">
        <v>17</v>
      </c>
      <c r="E38" s="17" t="s">
        <v>28</v>
      </c>
      <c r="F38" s="17" t="s">
        <v>26</v>
      </c>
      <c r="G38" s="25" t="s">
        <v>71</v>
      </c>
      <c r="H38" s="17" t="s">
        <v>19</v>
      </c>
      <c r="I38" s="26">
        <v>10</v>
      </c>
      <c r="J38" s="50">
        <f>144400000</f>
        <v>144400000</v>
      </c>
      <c r="K38" s="50">
        <f>34000000+2291180+3075000+3054000+42000000</f>
        <v>84420180</v>
      </c>
      <c r="L38" s="50">
        <f>3000000+2696550+2941788+7650</f>
        <v>8645988</v>
      </c>
      <c r="M38" s="50">
        <f t="shared" si="12"/>
        <v>220174192</v>
      </c>
      <c r="N38" s="50"/>
      <c r="O38" s="50">
        <v>140174191.47</v>
      </c>
      <c r="P38" s="28">
        <f t="shared" si="13"/>
        <v>80000000.530000001</v>
      </c>
      <c r="Q38" s="28">
        <v>16045191.470000001</v>
      </c>
      <c r="R38" s="51">
        <f t="shared" ref="R38:R44" si="14">IF(Q38&gt;1,Q38/(M38),0)</f>
        <v>7.2874987409968561E-2</v>
      </c>
      <c r="S38" s="50">
        <v>10458211.470000001</v>
      </c>
      <c r="T38" s="52">
        <v>10458211.470000001</v>
      </c>
      <c r="U38" s="43"/>
    </row>
    <row r="39" spans="1:21" ht="15.75" customHeight="1" x14ac:dyDescent="0.25">
      <c r="A39" s="49" t="s">
        <v>16</v>
      </c>
      <c r="B39" s="17" t="s">
        <v>47</v>
      </c>
      <c r="C39" s="17" t="s">
        <v>17</v>
      </c>
      <c r="D39" s="17" t="s">
        <v>17</v>
      </c>
      <c r="E39" s="17" t="s">
        <v>28</v>
      </c>
      <c r="F39" s="17" t="s">
        <v>28</v>
      </c>
      <c r="G39" s="25" t="s">
        <v>72</v>
      </c>
      <c r="H39" s="17" t="s">
        <v>19</v>
      </c>
      <c r="I39" s="26">
        <v>10</v>
      </c>
      <c r="J39" s="50">
        <v>18700000</v>
      </c>
      <c r="K39" s="50">
        <f>2000000+5950000+1944780+1043320</f>
        <v>10938100</v>
      </c>
      <c r="L39" s="50">
        <v>3600000</v>
      </c>
      <c r="M39" s="50">
        <f t="shared" si="12"/>
        <v>26038100</v>
      </c>
      <c r="N39" s="50"/>
      <c r="O39" s="50">
        <v>26038100</v>
      </c>
      <c r="P39" s="28">
        <f t="shared" si="13"/>
        <v>0</v>
      </c>
      <c r="Q39" s="28">
        <v>17100000</v>
      </c>
      <c r="R39" s="51">
        <f t="shared" si="14"/>
        <v>0.65672994573336763</v>
      </c>
      <c r="S39" s="50">
        <v>0</v>
      </c>
      <c r="T39" s="52">
        <v>0</v>
      </c>
    </row>
    <row r="40" spans="1:21" ht="15.75" customHeight="1" x14ac:dyDescent="0.25">
      <c r="A40" s="49" t="s">
        <v>16</v>
      </c>
      <c r="B40" s="17" t="s">
        <v>47</v>
      </c>
      <c r="C40" s="17" t="s">
        <v>17</v>
      </c>
      <c r="D40" s="17" t="s">
        <v>17</v>
      </c>
      <c r="E40" s="17" t="s">
        <v>28</v>
      </c>
      <c r="F40" s="24" t="s">
        <v>30</v>
      </c>
      <c r="G40" s="25" t="s">
        <v>73</v>
      </c>
      <c r="H40" s="17" t="s">
        <v>19</v>
      </c>
      <c r="I40" s="26">
        <v>10</v>
      </c>
      <c r="J40" s="50">
        <v>240000000</v>
      </c>
      <c r="K40" s="50">
        <v>78000000</v>
      </c>
      <c r="L40" s="50">
        <v>240000000</v>
      </c>
      <c r="M40" s="50">
        <f t="shared" si="12"/>
        <v>78000000</v>
      </c>
      <c r="N40" s="54">
        <v>0</v>
      </c>
      <c r="O40" s="50">
        <v>78000000</v>
      </c>
      <c r="P40" s="28">
        <f t="shared" si="13"/>
        <v>0</v>
      </c>
      <c r="Q40" s="28">
        <v>0</v>
      </c>
      <c r="R40" s="51">
        <f t="shared" si="14"/>
        <v>0</v>
      </c>
      <c r="S40" s="50">
        <v>0</v>
      </c>
      <c r="T40" s="52">
        <v>0</v>
      </c>
    </row>
    <row r="41" spans="1:21" ht="15.75" customHeight="1" x14ac:dyDescent="0.25">
      <c r="A41" s="49" t="s">
        <v>16</v>
      </c>
      <c r="B41" s="17" t="s">
        <v>47</v>
      </c>
      <c r="C41" s="17" t="s">
        <v>17</v>
      </c>
      <c r="D41" s="17" t="s">
        <v>17</v>
      </c>
      <c r="E41" s="17" t="s">
        <v>28</v>
      </c>
      <c r="F41" s="24" t="s">
        <v>32</v>
      </c>
      <c r="G41" s="25" t="s">
        <v>74</v>
      </c>
      <c r="H41" s="17" t="s">
        <v>19</v>
      </c>
      <c r="I41" s="26">
        <v>10</v>
      </c>
      <c r="J41" s="50">
        <v>57000000</v>
      </c>
      <c r="K41" s="50">
        <f>299880+6000000+10000000+916</f>
        <v>16300796</v>
      </c>
      <c r="L41" s="50">
        <f>12000000+22251+42000000</f>
        <v>54022251</v>
      </c>
      <c r="M41" s="50">
        <f t="shared" si="12"/>
        <v>19278545</v>
      </c>
      <c r="N41" s="50">
        <v>0</v>
      </c>
      <c r="O41" s="50">
        <v>12977748.9</v>
      </c>
      <c r="P41" s="28">
        <f t="shared" si="13"/>
        <v>6300796.0999999996</v>
      </c>
      <c r="Q41" s="28">
        <v>4977748.9000000004</v>
      </c>
      <c r="R41" s="51">
        <f t="shared" si="14"/>
        <v>0.25820148252889419</v>
      </c>
      <c r="S41" s="50">
        <v>2977748.9</v>
      </c>
      <c r="T41" s="52">
        <v>2977748.9</v>
      </c>
    </row>
    <row r="42" spans="1:21" ht="15.75" customHeight="1" x14ac:dyDescent="0.25">
      <c r="A42" s="49" t="s">
        <v>16</v>
      </c>
      <c r="B42" s="17" t="s">
        <v>47</v>
      </c>
      <c r="C42" s="17" t="s">
        <v>17</v>
      </c>
      <c r="D42" s="17" t="s">
        <v>17</v>
      </c>
      <c r="E42" s="17" t="s">
        <v>28</v>
      </c>
      <c r="F42" s="24" t="s">
        <v>34</v>
      </c>
      <c r="G42" s="25" t="s">
        <v>75</v>
      </c>
      <c r="H42" s="17" t="s">
        <v>19</v>
      </c>
      <c r="I42" s="26">
        <v>10</v>
      </c>
      <c r="J42" s="50">
        <v>0</v>
      </c>
      <c r="K42" s="50">
        <f>20000000+19047552</f>
        <v>39047552</v>
      </c>
      <c r="L42" s="50">
        <f>554040+4647552</f>
        <v>5201592</v>
      </c>
      <c r="M42" s="50">
        <f t="shared" si="12"/>
        <v>33845960</v>
      </c>
      <c r="N42" s="50">
        <v>0</v>
      </c>
      <c r="O42" s="50">
        <v>33845960</v>
      </c>
      <c r="P42" s="28">
        <f t="shared" si="13"/>
        <v>0</v>
      </c>
      <c r="Q42" s="28">
        <v>33845960</v>
      </c>
      <c r="R42" s="51">
        <f t="shared" si="14"/>
        <v>1</v>
      </c>
      <c r="S42" s="50">
        <v>19445960</v>
      </c>
      <c r="T42" s="52">
        <v>19445960</v>
      </c>
    </row>
    <row r="43" spans="1:21" ht="15.75" customHeight="1" x14ac:dyDescent="0.25">
      <c r="A43" s="49" t="s">
        <v>16</v>
      </c>
      <c r="B43" s="17" t="s">
        <v>47</v>
      </c>
      <c r="C43" s="17" t="s">
        <v>17</v>
      </c>
      <c r="D43" s="17" t="s">
        <v>17</v>
      </c>
      <c r="E43" s="17" t="s">
        <v>28</v>
      </c>
      <c r="F43" s="24" t="s">
        <v>36</v>
      </c>
      <c r="G43" s="25" t="s">
        <v>76</v>
      </c>
      <c r="H43" s="17" t="s">
        <v>19</v>
      </c>
      <c r="I43" s="26">
        <v>10</v>
      </c>
      <c r="J43" s="50">
        <v>112500000</v>
      </c>
      <c r="K43" s="50">
        <f>1000000+4671874</f>
        <v>5671874</v>
      </c>
      <c r="L43" s="50">
        <f>51895000+20000000+2571190+5777610+500000+4671874</f>
        <v>85415674</v>
      </c>
      <c r="M43" s="50">
        <f t="shared" si="12"/>
        <v>32756200</v>
      </c>
      <c r="N43" s="50">
        <v>0</v>
      </c>
      <c r="O43" s="50">
        <v>17651200</v>
      </c>
      <c r="P43" s="28">
        <f t="shared" si="13"/>
        <v>15105000</v>
      </c>
      <c r="Q43" s="28">
        <v>17651200</v>
      </c>
      <c r="R43" s="51">
        <f t="shared" si="14"/>
        <v>0.53886592461885074</v>
      </c>
      <c r="S43" s="50">
        <v>0</v>
      </c>
      <c r="T43" s="52">
        <v>0</v>
      </c>
    </row>
    <row r="44" spans="1:21" ht="15.75" customHeight="1" x14ac:dyDescent="0.25">
      <c r="A44" s="49" t="s">
        <v>16</v>
      </c>
      <c r="B44" s="17" t="s">
        <v>47</v>
      </c>
      <c r="C44" s="17" t="s">
        <v>17</v>
      </c>
      <c r="D44" s="17" t="s">
        <v>17</v>
      </c>
      <c r="E44" s="17" t="s">
        <v>28</v>
      </c>
      <c r="F44" s="24" t="s">
        <v>38</v>
      </c>
      <c r="G44" s="25" t="s">
        <v>77</v>
      </c>
      <c r="H44" s="17" t="s">
        <v>19</v>
      </c>
      <c r="I44" s="26">
        <v>10</v>
      </c>
      <c r="J44" s="50">
        <v>0</v>
      </c>
      <c r="K44" s="50">
        <v>3000000</v>
      </c>
      <c r="L44" s="50">
        <f>1191200</f>
        <v>1191200</v>
      </c>
      <c r="M44" s="50">
        <f t="shared" si="12"/>
        <v>1808800</v>
      </c>
      <c r="N44" s="50">
        <v>0</v>
      </c>
      <c r="O44" s="50">
        <v>1808800</v>
      </c>
      <c r="P44" s="28">
        <f t="shared" si="13"/>
        <v>0</v>
      </c>
      <c r="Q44" s="28">
        <v>1808800</v>
      </c>
      <c r="R44" s="51">
        <f t="shared" si="14"/>
        <v>1</v>
      </c>
      <c r="S44" s="50">
        <v>1808800</v>
      </c>
      <c r="T44" s="55">
        <v>1808800</v>
      </c>
    </row>
    <row r="45" spans="1:21" s="36" customFormat="1" ht="15" customHeight="1" x14ac:dyDescent="0.25">
      <c r="A45" s="46" t="s">
        <v>16</v>
      </c>
      <c r="B45" s="7" t="s">
        <v>47</v>
      </c>
      <c r="C45" s="7" t="s">
        <v>47</v>
      </c>
      <c r="D45" s="7"/>
      <c r="E45" s="7"/>
      <c r="F45" s="56"/>
      <c r="G45" s="18" t="s">
        <v>78</v>
      </c>
      <c r="H45" s="7" t="s">
        <v>19</v>
      </c>
      <c r="I45" s="19">
        <v>10</v>
      </c>
      <c r="J45" s="47">
        <f>J47+J48+J49+J50+J52+J53+J54+J55+J56+J57+J58+J59+J60+J61+J66+J67+J68+J69+J70+J71+J72+J74+J75+J76+J77+J78+J79+J81+J82+J83+J84+J85+J62+J63+J64+J51+J65</f>
        <v>53690471847</v>
      </c>
      <c r="K45" s="47">
        <f>K47+K48+K49+K50+K52+K53+K54+K55+K56+K57+K58+K59+K60+K61+K66+K67+K68+K69+K70+K71+K72+K74+K75+K76+K77+K78+K79+K81+K82+K83+K84+K85+K62+K63+K64+K51+K65</f>
        <v>5354775761.6300001</v>
      </c>
      <c r="L45" s="47">
        <f>L47+L48+L49+L50+L52+L53+L54+L55+L56+L57+L58+L59+L60+L61+L66+L67+L68+L69+L70+L71+L72+L74+L75+L76+L77+L78+L79+L81+L82+L83+L84+L85+L62+L63+L64+L51+L65</f>
        <v>5195623285.6300001</v>
      </c>
      <c r="M45" s="47">
        <f>M47+M48+M49+M50+M52+M53+M54+M55+M56+M57+M58+M59+M60+M61+M66+M67+M68+M69+M70+M71+M72+M74+M75+M76+M77+M78+M79+M81+M82+M83+M84+M85+M62+M63+M64+M51+M65</f>
        <v>53849624323</v>
      </c>
      <c r="N45" s="47">
        <f>N47+N48+N49+N50+N52+N53+N54+N55+N56+N57+N58+N59+N60+N61+N66+N67+N69+N70+N71+N72+N74+N75+N76+N77+N78+N79+N81+N82+N83+N84+N85+N62+N63+N64+N51+N65</f>
        <v>0</v>
      </c>
      <c r="O45" s="47">
        <f>O47+O48+O49+O50+O52+O53+O54+O55+O56+O57+O58+O59+O60+O61+O66+O67+O68+O69+O70+O71+O72+O74+O75+O76+O77+O78+O79+O81+O82+O83+O84+O85+O62+O63+O64+O51+O65</f>
        <v>50901901686.490005</v>
      </c>
      <c r="P45" s="47">
        <f>P47+P48+P49+P50+P52+P53+P54+P55+P56+P57+P58+P59+P60+P61+P66+P67+P68+P69+P70+P71+P72+P74+P75+P76+P77+P78+P79+P81+P82+P83+P84+P85+P62+P63+P64+P51+P65</f>
        <v>2947722636.5100002</v>
      </c>
      <c r="Q45" s="47">
        <f>Q47+Q48+Q49+Q50+Q52+Q53+Q54+Q55+Q56+Q57+Q58+Q59+Q60+Q61+Q66+Q67+Q68+Q69+Q70+Q71+Q72+Q74+Q75+Q76+Q77+Q78+Q79+Q81+Q82+Q83+Q84+Q85+Q62+Q63+Q64+Q51+Q65</f>
        <v>41664528196.059998</v>
      </c>
      <c r="R45" s="48">
        <f>IF(Q45&gt;1,Q45/(M45),0)</f>
        <v>0.77371994177988046</v>
      </c>
      <c r="S45" s="20">
        <f>S47+S48+S49+S50+S52+S53+S54+S55+S56+S57+S58+S59+S60+S61+S66+S67+S68+S69+S70+S71+S72+S74+S75+S76+S77+S78+S79+S81+S82+S83+S84+S85+S62+S63+S64+S51+S65</f>
        <v>27483278002.310005</v>
      </c>
      <c r="T45" s="20">
        <f>T47+T48+T49+T50+T52+T53+T54+T55+T56+T57+T58+T59+T60+T61+T66+T67+T68+T69+T70+T71+T72+T74+T75+T76+T77+T78+T79+T81+T82+T83+T84+T85+T62+T63+T64+T51+T65</f>
        <v>26613428800.400002</v>
      </c>
    </row>
    <row r="46" spans="1:21" s="36" customFormat="1" ht="15" customHeight="1" x14ac:dyDescent="0.25">
      <c r="A46" s="46" t="s">
        <v>16</v>
      </c>
      <c r="B46" s="7" t="s">
        <v>47</v>
      </c>
      <c r="C46" s="7" t="s">
        <v>47</v>
      </c>
      <c r="D46" s="7"/>
      <c r="E46" s="7"/>
      <c r="F46" s="56"/>
      <c r="G46" s="18" t="s">
        <v>78</v>
      </c>
      <c r="H46" s="7" t="s">
        <v>79</v>
      </c>
      <c r="I46" s="19">
        <v>20</v>
      </c>
      <c r="J46" s="47">
        <f t="shared" ref="J46:Q46" si="15">J73+J80</f>
        <v>2873920000</v>
      </c>
      <c r="K46" s="47">
        <f t="shared" si="15"/>
        <v>0</v>
      </c>
      <c r="L46" s="47">
        <f t="shared" si="15"/>
        <v>0</v>
      </c>
      <c r="M46" s="47">
        <f t="shared" si="15"/>
        <v>2873920000</v>
      </c>
      <c r="N46" s="47">
        <f t="shared" si="15"/>
        <v>0</v>
      </c>
      <c r="O46" s="47">
        <f t="shared" si="15"/>
        <v>264948680</v>
      </c>
      <c r="P46" s="20">
        <f t="shared" si="15"/>
        <v>2608971320</v>
      </c>
      <c r="Q46" s="20">
        <f t="shared" si="15"/>
        <v>264948680</v>
      </c>
      <c r="R46" s="48">
        <f>IF(Q46&gt;1,Q46/(M46),0)</f>
        <v>9.2190694243402746E-2</v>
      </c>
      <c r="S46" s="47">
        <f>S73+S80</f>
        <v>174288640</v>
      </c>
      <c r="T46" s="57">
        <f>T73+T80</f>
        <v>174288640</v>
      </c>
    </row>
    <row r="47" spans="1:21" s="16" customFormat="1" ht="15" customHeight="1" x14ac:dyDescent="0.25">
      <c r="A47" s="49" t="s">
        <v>16</v>
      </c>
      <c r="B47" s="17" t="s">
        <v>47</v>
      </c>
      <c r="C47" s="17" t="s">
        <v>47</v>
      </c>
      <c r="D47" s="17" t="s">
        <v>17</v>
      </c>
      <c r="E47" s="24" t="s">
        <v>22</v>
      </c>
      <c r="F47" s="24" t="s">
        <v>30</v>
      </c>
      <c r="G47" s="25" t="s">
        <v>80</v>
      </c>
      <c r="H47" s="17" t="s">
        <v>19</v>
      </c>
      <c r="I47" s="26">
        <v>10</v>
      </c>
      <c r="J47" s="50">
        <v>210000</v>
      </c>
      <c r="K47" s="50"/>
      <c r="L47" s="50"/>
      <c r="M47" s="50">
        <f t="shared" ref="M47:M85" si="16">J47+K47-L47</f>
        <v>210000</v>
      </c>
      <c r="N47" s="50">
        <v>0</v>
      </c>
      <c r="O47" s="50">
        <v>210000</v>
      </c>
      <c r="P47" s="28">
        <f t="shared" ref="P47:P85" si="17">+M47-O47-N47</f>
        <v>0</v>
      </c>
      <c r="Q47" s="27">
        <v>210000</v>
      </c>
      <c r="R47" s="29">
        <f>IF(Q47&gt;1,Q47/(M47),0)</f>
        <v>1</v>
      </c>
      <c r="S47" s="27">
        <v>0</v>
      </c>
      <c r="T47" s="30">
        <v>0</v>
      </c>
    </row>
    <row r="48" spans="1:21" s="16" customFormat="1" ht="15" customHeight="1" x14ac:dyDescent="0.25">
      <c r="A48" s="49" t="s">
        <v>16</v>
      </c>
      <c r="B48" s="17" t="s">
        <v>47</v>
      </c>
      <c r="C48" s="17" t="s">
        <v>47</v>
      </c>
      <c r="D48" s="17" t="s">
        <v>17</v>
      </c>
      <c r="E48" s="24" t="s">
        <v>22</v>
      </c>
      <c r="F48" s="24" t="s">
        <v>32</v>
      </c>
      <c r="G48" s="25" t="s">
        <v>81</v>
      </c>
      <c r="H48" s="17" t="s">
        <v>19</v>
      </c>
      <c r="I48" s="26">
        <v>10</v>
      </c>
      <c r="J48" s="50">
        <v>0</v>
      </c>
      <c r="K48" s="50">
        <v>300000</v>
      </c>
      <c r="L48" s="50"/>
      <c r="M48" s="50">
        <f t="shared" si="16"/>
        <v>300000</v>
      </c>
      <c r="N48" s="50">
        <v>0</v>
      </c>
      <c r="O48" s="50">
        <v>300000</v>
      </c>
      <c r="P48" s="28">
        <f t="shared" si="17"/>
        <v>0</v>
      </c>
      <c r="Q48" s="27">
        <v>300000</v>
      </c>
      <c r="R48" s="29">
        <f t="shared" ref="R48:R85" si="18">IF(Q48&gt;1,Q48/(M48),0)</f>
        <v>1</v>
      </c>
      <c r="S48" s="27">
        <v>0</v>
      </c>
      <c r="T48" s="30">
        <v>0</v>
      </c>
    </row>
    <row r="49" spans="1:20" s="16" customFormat="1" ht="24.75" customHeight="1" x14ac:dyDescent="0.25">
      <c r="A49" s="49" t="s">
        <v>16</v>
      </c>
      <c r="B49" s="17" t="s">
        <v>47</v>
      </c>
      <c r="C49" s="17" t="s">
        <v>47</v>
      </c>
      <c r="D49" s="17" t="s">
        <v>17</v>
      </c>
      <c r="E49" s="17" t="s">
        <v>24</v>
      </c>
      <c r="F49" s="24" t="s">
        <v>34</v>
      </c>
      <c r="G49" s="25" t="s">
        <v>82</v>
      </c>
      <c r="H49" s="17" t="s">
        <v>19</v>
      </c>
      <c r="I49" s="26">
        <v>10</v>
      </c>
      <c r="J49" s="50">
        <v>40788000</v>
      </c>
      <c r="K49" s="50">
        <f>53701+6259550+768949.5</f>
        <v>7082200.5</v>
      </c>
      <c r="L49" s="50">
        <f>6104956</f>
        <v>6104956</v>
      </c>
      <c r="M49" s="50">
        <f t="shared" si="16"/>
        <v>41765244.5</v>
      </c>
      <c r="N49" s="50">
        <v>0</v>
      </c>
      <c r="O49" s="50">
        <v>41765235.5</v>
      </c>
      <c r="P49" s="28">
        <f t="shared" si="17"/>
        <v>9</v>
      </c>
      <c r="Q49" s="27">
        <v>14736736</v>
      </c>
      <c r="R49" s="29">
        <f t="shared" si="18"/>
        <v>0.35284687486984545</v>
      </c>
      <c r="S49" s="27">
        <v>0</v>
      </c>
      <c r="T49" s="30">
        <v>0</v>
      </c>
    </row>
    <row r="50" spans="1:20" s="16" customFormat="1" ht="16.5" customHeight="1" x14ac:dyDescent="0.25">
      <c r="A50" s="49" t="s">
        <v>16</v>
      </c>
      <c r="B50" s="17" t="s">
        <v>47</v>
      </c>
      <c r="C50" s="17" t="s">
        <v>47</v>
      </c>
      <c r="D50" s="17" t="s">
        <v>17</v>
      </c>
      <c r="E50" s="17" t="s">
        <v>24</v>
      </c>
      <c r="F50" s="24" t="s">
        <v>36</v>
      </c>
      <c r="G50" s="25" t="s">
        <v>83</v>
      </c>
      <c r="H50" s="17" t="s">
        <v>19</v>
      </c>
      <c r="I50" s="26" t="s">
        <v>21</v>
      </c>
      <c r="J50" s="50">
        <v>841520000</v>
      </c>
      <c r="K50" s="50">
        <f>78250+3790234+79369300</f>
        <v>83237784</v>
      </c>
      <c r="L50" s="50">
        <f>13269942+12376000+6876500+143230+14858117</f>
        <v>47523789</v>
      </c>
      <c r="M50" s="50">
        <f t="shared" si="16"/>
        <v>877233995</v>
      </c>
      <c r="N50" s="27">
        <v>0</v>
      </c>
      <c r="O50" s="50">
        <v>782301785</v>
      </c>
      <c r="P50" s="28">
        <f t="shared" si="17"/>
        <v>94932210</v>
      </c>
      <c r="Q50" s="27">
        <v>292782901</v>
      </c>
      <c r="R50" s="29">
        <f t="shared" si="18"/>
        <v>0.33375690256965018</v>
      </c>
      <c r="S50" s="27">
        <v>107103278</v>
      </c>
      <c r="T50" s="30">
        <v>107103278</v>
      </c>
    </row>
    <row r="51" spans="1:20" s="16" customFormat="1" ht="24.75" customHeight="1" x14ac:dyDescent="0.25">
      <c r="A51" s="49" t="s">
        <v>16</v>
      </c>
      <c r="B51" s="17" t="s">
        <v>47</v>
      </c>
      <c r="C51" s="17" t="s">
        <v>47</v>
      </c>
      <c r="D51" s="17" t="s">
        <v>17</v>
      </c>
      <c r="E51" s="17" t="s">
        <v>26</v>
      </c>
      <c r="F51" s="24" t="s">
        <v>22</v>
      </c>
      <c r="G51" s="25" t="s">
        <v>84</v>
      </c>
      <c r="H51" s="17" t="s">
        <v>19</v>
      </c>
      <c r="I51" s="26" t="s">
        <v>21</v>
      </c>
      <c r="J51" s="50">
        <v>0</v>
      </c>
      <c r="K51" s="50">
        <v>2000000</v>
      </c>
      <c r="L51" s="50"/>
      <c r="M51" s="50">
        <f t="shared" si="16"/>
        <v>2000000</v>
      </c>
      <c r="N51" s="27">
        <v>0</v>
      </c>
      <c r="O51" s="50">
        <v>2000000</v>
      </c>
      <c r="P51" s="28">
        <f t="shared" si="17"/>
        <v>0</v>
      </c>
      <c r="Q51" s="27">
        <v>2000000</v>
      </c>
      <c r="R51" s="29">
        <f t="shared" si="18"/>
        <v>1</v>
      </c>
      <c r="S51" s="27">
        <v>0</v>
      </c>
      <c r="T51" s="30">
        <v>0</v>
      </c>
    </row>
    <row r="52" spans="1:20" s="16" customFormat="1" ht="40.5" customHeight="1" x14ac:dyDescent="0.25">
      <c r="A52" s="49" t="s">
        <v>16</v>
      </c>
      <c r="B52" s="17" t="s">
        <v>47</v>
      </c>
      <c r="C52" s="17" t="s">
        <v>47</v>
      </c>
      <c r="D52" s="17" t="s">
        <v>17</v>
      </c>
      <c r="E52" s="17" t="s">
        <v>26</v>
      </c>
      <c r="F52" s="24" t="s">
        <v>24</v>
      </c>
      <c r="G52" s="25" t="s">
        <v>85</v>
      </c>
      <c r="H52" s="17" t="s">
        <v>19</v>
      </c>
      <c r="I52" s="26">
        <v>10</v>
      </c>
      <c r="J52" s="50">
        <v>759430000</v>
      </c>
      <c r="K52" s="50">
        <f>12364500+784360+6397485+600000</f>
        <v>20146345</v>
      </c>
      <c r="L52" s="50">
        <f>13524360+4473400+18000000+60000000+41406600+5586+1500</f>
        <v>137411446</v>
      </c>
      <c r="M52" s="50">
        <f t="shared" si="16"/>
        <v>642164899</v>
      </c>
      <c r="N52" s="28">
        <v>0</v>
      </c>
      <c r="O52" s="50">
        <v>599068441.79999995</v>
      </c>
      <c r="P52" s="28">
        <f t="shared" si="17"/>
        <v>43096457.200000048</v>
      </c>
      <c r="Q52" s="27">
        <v>599068441.79999995</v>
      </c>
      <c r="R52" s="29">
        <f t="shared" si="18"/>
        <v>0.93288879964147642</v>
      </c>
      <c r="S52" s="27">
        <v>494200399</v>
      </c>
      <c r="T52" s="30">
        <v>48200399</v>
      </c>
    </row>
    <row r="53" spans="1:20" s="16" customFormat="1" ht="23.25" customHeight="1" x14ac:dyDescent="0.25">
      <c r="A53" s="49" t="s">
        <v>16</v>
      </c>
      <c r="B53" s="17" t="s">
        <v>47</v>
      </c>
      <c r="C53" s="17" t="s">
        <v>47</v>
      </c>
      <c r="D53" s="17" t="s">
        <v>17</v>
      </c>
      <c r="E53" s="17" t="s">
        <v>26</v>
      </c>
      <c r="F53" s="24" t="s">
        <v>26</v>
      </c>
      <c r="G53" s="25" t="s">
        <v>86</v>
      </c>
      <c r="H53" s="17" t="s">
        <v>19</v>
      </c>
      <c r="I53" s="26" t="s">
        <v>21</v>
      </c>
      <c r="J53" s="50">
        <v>386480000</v>
      </c>
      <c r="K53" s="50">
        <f>2800000+770000+3850000+150000+3000000</f>
        <v>10570000</v>
      </c>
      <c r="L53" s="50">
        <f>9249800+951265+1812951+10300000</f>
        <v>22314016</v>
      </c>
      <c r="M53" s="50">
        <f t="shared" si="16"/>
        <v>374735984</v>
      </c>
      <c r="N53" s="28">
        <v>0</v>
      </c>
      <c r="O53" s="50">
        <v>272670885</v>
      </c>
      <c r="P53" s="28">
        <f t="shared" si="17"/>
        <v>102065099</v>
      </c>
      <c r="Q53" s="27">
        <v>239443642</v>
      </c>
      <c r="R53" s="29">
        <f t="shared" si="18"/>
        <v>0.63896623816089138</v>
      </c>
      <c r="S53" s="27">
        <v>142277684.36000001</v>
      </c>
      <c r="T53" s="30">
        <v>141127686.24000001</v>
      </c>
    </row>
    <row r="54" spans="1:20" s="16" customFormat="1" ht="15" customHeight="1" x14ac:dyDescent="0.25">
      <c r="A54" s="49" t="s">
        <v>16</v>
      </c>
      <c r="B54" s="17" t="s">
        <v>47</v>
      </c>
      <c r="C54" s="17" t="s">
        <v>47</v>
      </c>
      <c r="D54" s="17" t="s">
        <v>17</v>
      </c>
      <c r="E54" s="17" t="s">
        <v>26</v>
      </c>
      <c r="F54" s="24" t="s">
        <v>28</v>
      </c>
      <c r="G54" s="25" t="s">
        <v>87</v>
      </c>
      <c r="H54" s="17" t="s">
        <v>19</v>
      </c>
      <c r="I54" s="26" t="s">
        <v>21</v>
      </c>
      <c r="J54" s="50">
        <v>412800000</v>
      </c>
      <c r="K54" s="50">
        <f>3200000+2500000+973667+5551562</f>
        <v>12225229</v>
      </c>
      <c r="L54" s="50">
        <f>10431293+3790234+770000+3850000+57348+800000+2880735+1731940+4978359+112293+5655561+3000000+10000000</f>
        <v>48057763</v>
      </c>
      <c r="M54" s="50">
        <f t="shared" si="16"/>
        <v>376967466</v>
      </c>
      <c r="N54" s="28">
        <f>M54-[1]REP_EPG034_EjecucionPresupuesta!$T$46</f>
        <v>0</v>
      </c>
      <c r="O54" s="50">
        <v>345462024.75</v>
      </c>
      <c r="P54" s="50">
        <f t="shared" si="17"/>
        <v>31505441.25</v>
      </c>
      <c r="Q54" s="27">
        <v>345462024.75</v>
      </c>
      <c r="R54" s="29">
        <f t="shared" si="18"/>
        <v>0.91642397795145536</v>
      </c>
      <c r="S54" s="27">
        <v>83366566.890000001</v>
      </c>
      <c r="T54" s="30">
        <v>74253925.890000001</v>
      </c>
    </row>
    <row r="55" spans="1:20" s="16" customFormat="1" ht="29.25" customHeight="1" x14ac:dyDescent="0.25">
      <c r="A55" s="49" t="s">
        <v>16</v>
      </c>
      <c r="B55" s="17" t="s">
        <v>47</v>
      </c>
      <c r="C55" s="17" t="s">
        <v>47</v>
      </c>
      <c r="D55" s="17" t="s">
        <v>17</v>
      </c>
      <c r="E55" s="17" t="s">
        <v>26</v>
      </c>
      <c r="F55" s="24" t="s">
        <v>30</v>
      </c>
      <c r="G55" s="25" t="s">
        <v>88</v>
      </c>
      <c r="H55" s="17" t="s">
        <v>19</v>
      </c>
      <c r="I55" s="26" t="s">
        <v>21</v>
      </c>
      <c r="J55" s="50">
        <v>93970000</v>
      </c>
      <c r="K55" s="50">
        <f>4700000+17628242+1084865+383575+1000000+4025487+30000000+4993300+586090</f>
        <v>64401559</v>
      </c>
      <c r="L55" s="50">
        <f>958865+1350000+800000+2687166+20628242+975363+4409138+500</f>
        <v>31809274</v>
      </c>
      <c r="M55" s="50">
        <f t="shared" si="16"/>
        <v>126562285</v>
      </c>
      <c r="N55" s="28">
        <f>M55-[1]REP_EPG034_EjecucionPresupuesta!$T$47</f>
        <v>0</v>
      </c>
      <c r="O55" s="50">
        <v>73685052.75</v>
      </c>
      <c r="P55" s="50">
        <f t="shared" si="17"/>
        <v>52877232.25</v>
      </c>
      <c r="Q55" s="27">
        <v>60795052.75</v>
      </c>
      <c r="R55" s="29">
        <f t="shared" si="18"/>
        <v>0.48035678835918616</v>
      </c>
      <c r="S55" s="27">
        <v>4002375</v>
      </c>
      <c r="T55" s="30">
        <v>4002375</v>
      </c>
    </row>
    <row r="56" spans="1:20" s="16" customFormat="1" ht="16.5" customHeight="1" x14ac:dyDescent="0.25">
      <c r="A56" s="49" t="s">
        <v>16</v>
      </c>
      <c r="B56" s="17" t="s">
        <v>47</v>
      </c>
      <c r="C56" s="17" t="s">
        <v>47</v>
      </c>
      <c r="D56" s="17" t="s">
        <v>17</v>
      </c>
      <c r="E56" s="17" t="s">
        <v>26</v>
      </c>
      <c r="F56" s="24" t="s">
        <v>32</v>
      </c>
      <c r="G56" s="25" t="s">
        <v>89</v>
      </c>
      <c r="H56" s="17" t="s">
        <v>19</v>
      </c>
      <c r="I56" s="26" t="s">
        <v>21</v>
      </c>
      <c r="J56" s="50">
        <v>591813000</v>
      </c>
      <c r="K56" s="50">
        <f>600000+2758258+7037922+500000+17021000+3072078+4919084+60000000+14546299+23392318+3000000+1180324+104878745+3981660+240000000</f>
        <v>486887688</v>
      </c>
      <c r="L56" s="50">
        <f>15000000+10889000+9810000+9633702+82372742+23124556+27073287+1999300+1582192+1905124+29753+37000000</f>
        <v>220419656</v>
      </c>
      <c r="M56" s="50">
        <f t="shared" si="16"/>
        <v>858281032</v>
      </c>
      <c r="N56" s="27">
        <v>0</v>
      </c>
      <c r="O56" s="50">
        <v>750466018.91999996</v>
      </c>
      <c r="P56" s="50">
        <f t="shared" si="17"/>
        <v>107815013.08000004</v>
      </c>
      <c r="Q56" s="27">
        <v>504468658.92000002</v>
      </c>
      <c r="R56" s="29">
        <f t="shared" si="18"/>
        <v>0.58776629112316214</v>
      </c>
      <c r="S56" s="27">
        <v>139634244</v>
      </c>
      <c r="T56" s="30">
        <v>139634244</v>
      </c>
    </row>
    <row r="57" spans="1:20" s="16" customFormat="1" ht="24.75" customHeight="1" x14ac:dyDescent="0.25">
      <c r="A57" s="49" t="s">
        <v>16</v>
      </c>
      <c r="B57" s="17" t="s">
        <v>47</v>
      </c>
      <c r="C57" s="17" t="s">
        <v>47</v>
      </c>
      <c r="D57" s="17" t="s">
        <v>17</v>
      </c>
      <c r="E57" s="17" t="s">
        <v>26</v>
      </c>
      <c r="F57" s="24" t="s">
        <v>34</v>
      </c>
      <c r="G57" s="25" t="s">
        <v>90</v>
      </c>
      <c r="H57" s="17" t="s">
        <v>19</v>
      </c>
      <c r="I57" s="58" t="s">
        <v>21</v>
      </c>
      <c r="J57" s="50">
        <v>134622000</v>
      </c>
      <c r="K57" s="50">
        <f>1600000+750000+71460+6500000+4671874</f>
        <v>13593334</v>
      </c>
      <c r="L57" s="50">
        <f>28000000+60000000+30000000</f>
        <v>118000000</v>
      </c>
      <c r="M57" s="50">
        <f t="shared" si="16"/>
        <v>30215334</v>
      </c>
      <c r="N57" s="27">
        <v>0</v>
      </c>
      <c r="O57" s="50">
        <v>29405335</v>
      </c>
      <c r="P57" s="28">
        <f t="shared" si="17"/>
        <v>809999</v>
      </c>
      <c r="Q57" s="27">
        <v>24733460</v>
      </c>
      <c r="R57" s="29">
        <f t="shared" si="18"/>
        <v>0.81857311257919574</v>
      </c>
      <c r="S57" s="27">
        <v>11586745.1</v>
      </c>
      <c r="T57" s="30">
        <v>11586745.1</v>
      </c>
    </row>
    <row r="58" spans="1:20" s="16" customFormat="1" ht="16.5" customHeight="1" x14ac:dyDescent="0.25">
      <c r="A58" s="49" t="s">
        <v>16</v>
      </c>
      <c r="B58" s="17" t="s">
        <v>47</v>
      </c>
      <c r="C58" s="17" t="s">
        <v>47</v>
      </c>
      <c r="D58" s="17" t="s">
        <v>17</v>
      </c>
      <c r="E58" s="17" t="s">
        <v>26</v>
      </c>
      <c r="F58" s="24" t="s">
        <v>36</v>
      </c>
      <c r="G58" s="25" t="s">
        <v>91</v>
      </c>
      <c r="H58" s="17" t="s">
        <v>19</v>
      </c>
      <c r="I58" s="26" t="s">
        <v>21</v>
      </c>
      <c r="J58" s="50">
        <v>97150000</v>
      </c>
      <c r="K58" s="50">
        <f>3939200+1169986+6037170+1000000+285960</f>
        <v>12432316</v>
      </c>
      <c r="L58" s="50">
        <f>1000000+1999200+9700000+3010000+22000000+16000000+236264+1966776.5</f>
        <v>55912240.5</v>
      </c>
      <c r="M58" s="50">
        <f t="shared" si="16"/>
        <v>53670075.5</v>
      </c>
      <c r="N58" s="27">
        <v>0</v>
      </c>
      <c r="O58" s="50">
        <v>17616675.940000001</v>
      </c>
      <c r="P58" s="28">
        <f t="shared" si="17"/>
        <v>36053399.560000002</v>
      </c>
      <c r="Q58" s="27">
        <v>17560675.940000001</v>
      </c>
      <c r="R58" s="29">
        <f t="shared" si="18"/>
        <v>0.32719678100695054</v>
      </c>
      <c r="S58" s="27">
        <v>3443566</v>
      </c>
      <c r="T58" s="30">
        <v>3443566</v>
      </c>
    </row>
    <row r="59" spans="1:20" s="16" customFormat="1" ht="15" customHeight="1" x14ac:dyDescent="0.25">
      <c r="A59" s="49" t="s">
        <v>16</v>
      </c>
      <c r="B59" s="17" t="s">
        <v>47</v>
      </c>
      <c r="C59" s="17" t="s">
        <v>47</v>
      </c>
      <c r="D59" s="17" t="s">
        <v>17</v>
      </c>
      <c r="E59" s="17" t="s">
        <v>28</v>
      </c>
      <c r="F59" s="24" t="s">
        <v>22</v>
      </c>
      <c r="G59" s="25" t="s">
        <v>92</v>
      </c>
      <c r="H59" s="17" t="s">
        <v>19</v>
      </c>
      <c r="I59" s="26" t="s">
        <v>21</v>
      </c>
      <c r="J59" s="50">
        <v>7300000</v>
      </c>
      <c r="K59" s="50">
        <f>254184+2000000</f>
        <v>2254184</v>
      </c>
      <c r="L59" s="50">
        <f>4600000+254184</f>
        <v>4854184</v>
      </c>
      <c r="M59" s="50">
        <f t="shared" si="16"/>
        <v>4700000</v>
      </c>
      <c r="N59" s="27">
        <v>0</v>
      </c>
      <c r="O59" s="50">
        <v>4700000</v>
      </c>
      <c r="P59" s="28">
        <f t="shared" si="17"/>
        <v>0</v>
      </c>
      <c r="Q59" s="27">
        <v>4700000</v>
      </c>
      <c r="R59" s="29">
        <f t="shared" si="18"/>
        <v>1</v>
      </c>
      <c r="S59" s="27">
        <v>2000000</v>
      </c>
      <c r="T59" s="30">
        <v>2000000</v>
      </c>
    </row>
    <row r="60" spans="1:20" s="16" customFormat="1" ht="24.75" customHeight="1" x14ac:dyDescent="0.25">
      <c r="A60" s="49" t="s">
        <v>16</v>
      </c>
      <c r="B60" s="17" t="s">
        <v>47</v>
      </c>
      <c r="C60" s="17" t="s">
        <v>47</v>
      </c>
      <c r="D60" s="17" t="s">
        <v>17</v>
      </c>
      <c r="E60" s="17" t="s">
        <v>28</v>
      </c>
      <c r="F60" s="24" t="s">
        <v>24</v>
      </c>
      <c r="G60" s="25" t="s">
        <v>93</v>
      </c>
      <c r="H60" s="17" t="s">
        <v>19</v>
      </c>
      <c r="I60" s="26" t="s">
        <v>21</v>
      </c>
      <c r="J60" s="50">
        <v>125094000</v>
      </c>
      <c r="K60" s="50">
        <f>4400000+898743+1612600+66084644+72752798+4000000+21015880+2200000+6000000+26340766+7787478+90000</f>
        <v>213182909</v>
      </c>
      <c r="L60" s="50">
        <f>2529750+683743+924000+2020000+226691+3125104+3406007+773106+4756446+1681190</f>
        <v>20126037</v>
      </c>
      <c r="M60" s="50">
        <f t="shared" si="16"/>
        <v>318150872</v>
      </c>
      <c r="N60" s="27">
        <v>0</v>
      </c>
      <c r="O60" s="50">
        <v>113665394.3</v>
      </c>
      <c r="P60" s="28">
        <f t="shared" si="17"/>
        <v>204485477.69999999</v>
      </c>
      <c r="Q60" s="27">
        <v>75823866.299999997</v>
      </c>
      <c r="R60" s="29">
        <f t="shared" si="18"/>
        <v>0.23832675932442515</v>
      </c>
      <c r="S60" s="27">
        <v>4406088.1500000004</v>
      </c>
      <c r="T60" s="30">
        <v>4406088.1500000004</v>
      </c>
    </row>
    <row r="61" spans="1:20" s="16" customFormat="1" ht="16.5" customHeight="1" x14ac:dyDescent="0.25">
      <c r="A61" s="49" t="s">
        <v>16</v>
      </c>
      <c r="B61" s="17" t="s">
        <v>47</v>
      </c>
      <c r="C61" s="17" t="s">
        <v>47</v>
      </c>
      <c r="D61" s="17" t="s">
        <v>17</v>
      </c>
      <c r="E61" s="17" t="s">
        <v>28</v>
      </c>
      <c r="F61" s="24" t="s">
        <v>26</v>
      </c>
      <c r="G61" s="25" t="s">
        <v>71</v>
      </c>
      <c r="H61" s="17" t="s">
        <v>19</v>
      </c>
      <c r="I61" s="26" t="s">
        <v>21</v>
      </c>
      <c r="J61" s="50">
        <v>2550000</v>
      </c>
      <c r="K61" s="50">
        <f>1142400+11915580+742560+1000000+600000+1618666</f>
        <v>17019206</v>
      </c>
      <c r="L61" s="50">
        <f>69088+685440+600000</f>
        <v>1354528</v>
      </c>
      <c r="M61" s="50">
        <f t="shared" si="16"/>
        <v>18214678</v>
      </c>
      <c r="N61" s="27">
        <v>0</v>
      </c>
      <c r="O61" s="50">
        <v>15465580</v>
      </c>
      <c r="P61" s="28">
        <f t="shared" si="17"/>
        <v>2749098</v>
      </c>
      <c r="Q61" s="27">
        <v>15465580</v>
      </c>
      <c r="R61" s="29">
        <f t="shared" si="18"/>
        <v>0.8490723799783888</v>
      </c>
      <c r="S61" s="27">
        <v>0</v>
      </c>
      <c r="T61" s="30">
        <v>0</v>
      </c>
    </row>
    <row r="62" spans="1:20" s="16" customFormat="1" ht="16.5" customHeight="1" x14ac:dyDescent="0.25">
      <c r="A62" s="49" t="s">
        <v>16</v>
      </c>
      <c r="B62" s="17" t="s">
        <v>47</v>
      </c>
      <c r="C62" s="17" t="s">
        <v>47</v>
      </c>
      <c r="D62" s="17" t="s">
        <v>17</v>
      </c>
      <c r="E62" s="17" t="s">
        <v>28</v>
      </c>
      <c r="F62" s="24" t="s">
        <v>28</v>
      </c>
      <c r="G62" s="25" t="s">
        <v>72</v>
      </c>
      <c r="H62" s="17" t="s">
        <v>19</v>
      </c>
      <c r="I62" s="26" t="s">
        <v>21</v>
      </c>
      <c r="J62" s="50">
        <v>4000000</v>
      </c>
      <c r="K62" s="50">
        <f>4426800+2641800+1451043</f>
        <v>8519643</v>
      </c>
      <c r="L62" s="50">
        <f>16712+338</f>
        <v>17050</v>
      </c>
      <c r="M62" s="50">
        <f t="shared" si="16"/>
        <v>12502593</v>
      </c>
      <c r="N62" s="27">
        <v>0</v>
      </c>
      <c r="O62" s="50">
        <v>4000000</v>
      </c>
      <c r="P62" s="28">
        <f t="shared" si="17"/>
        <v>8502593</v>
      </c>
      <c r="Q62" s="27">
        <v>4000000</v>
      </c>
      <c r="R62" s="29">
        <f t="shared" si="18"/>
        <v>0.31993363296717731</v>
      </c>
      <c r="S62" s="27">
        <v>0</v>
      </c>
      <c r="T62" s="30">
        <v>0</v>
      </c>
    </row>
    <row r="63" spans="1:20" s="16" customFormat="1" ht="16.5" customHeight="1" x14ac:dyDescent="0.25">
      <c r="A63" s="49" t="s">
        <v>16</v>
      </c>
      <c r="B63" s="17" t="s">
        <v>47</v>
      </c>
      <c r="C63" s="17" t="s">
        <v>47</v>
      </c>
      <c r="D63" s="17" t="s">
        <v>17</v>
      </c>
      <c r="E63" s="17" t="s">
        <v>28</v>
      </c>
      <c r="F63" s="24" t="s">
        <v>30</v>
      </c>
      <c r="G63" s="25" t="s">
        <v>73</v>
      </c>
      <c r="H63" s="17" t="s">
        <v>19</v>
      </c>
      <c r="I63" s="26" t="s">
        <v>21</v>
      </c>
      <c r="J63" s="50">
        <v>17010000</v>
      </c>
      <c r="K63" s="50">
        <f>260000+17000000</f>
        <v>17260000</v>
      </c>
      <c r="L63" s="50">
        <f>238000+1400000+360000+12500000+2500</f>
        <v>14500500</v>
      </c>
      <c r="M63" s="50">
        <f t="shared" si="16"/>
        <v>19769500</v>
      </c>
      <c r="N63" s="27">
        <v>0</v>
      </c>
      <c r="O63" s="50">
        <v>19769039</v>
      </c>
      <c r="P63" s="28">
        <f t="shared" si="17"/>
        <v>461</v>
      </c>
      <c r="Q63" s="27">
        <v>19769039</v>
      </c>
      <c r="R63" s="29">
        <f t="shared" si="18"/>
        <v>0.99997668125142269</v>
      </c>
      <c r="S63" s="27">
        <v>19500</v>
      </c>
      <c r="T63" s="30">
        <v>19500</v>
      </c>
    </row>
    <row r="64" spans="1:20" s="16" customFormat="1" ht="16.5" customHeight="1" x14ac:dyDescent="0.25">
      <c r="A64" s="49" t="s">
        <v>16</v>
      </c>
      <c r="B64" s="17" t="s">
        <v>47</v>
      </c>
      <c r="C64" s="17" t="s">
        <v>47</v>
      </c>
      <c r="D64" s="17" t="s">
        <v>17</v>
      </c>
      <c r="E64" s="17" t="s">
        <v>28</v>
      </c>
      <c r="F64" s="24" t="s">
        <v>32</v>
      </c>
      <c r="G64" s="25" t="s">
        <v>74</v>
      </c>
      <c r="H64" s="17" t="s">
        <v>19</v>
      </c>
      <c r="I64" s="26" t="s">
        <v>21</v>
      </c>
      <c r="J64" s="50">
        <v>133240000</v>
      </c>
      <c r="K64" s="50">
        <f>12000000+3400000+35000000+936058+1852002</f>
        <v>53188060</v>
      </c>
      <c r="L64" s="50">
        <f>3400000+28112774+25000000+6000</f>
        <v>56518774</v>
      </c>
      <c r="M64" s="50">
        <f t="shared" si="16"/>
        <v>129909286</v>
      </c>
      <c r="N64" s="27"/>
      <c r="O64" s="50">
        <v>111323616.65000001</v>
      </c>
      <c r="P64" s="28">
        <f t="shared" si="17"/>
        <v>18585669.349999994</v>
      </c>
      <c r="Q64" s="27">
        <v>75623616.650000006</v>
      </c>
      <c r="R64" s="29">
        <f t="shared" si="18"/>
        <v>0.58212633583406814</v>
      </c>
      <c r="S64" s="27">
        <v>7051104</v>
      </c>
      <c r="T64" s="30">
        <v>7051104</v>
      </c>
    </row>
    <row r="65" spans="1:20" s="16" customFormat="1" ht="16.5" customHeight="1" x14ac:dyDescent="0.25">
      <c r="A65" s="49" t="s">
        <v>16</v>
      </c>
      <c r="B65" s="17" t="s">
        <v>47</v>
      </c>
      <c r="C65" s="17" t="s">
        <v>47</v>
      </c>
      <c r="D65" s="17" t="s">
        <v>17</v>
      </c>
      <c r="E65" s="17" t="s">
        <v>28</v>
      </c>
      <c r="F65" s="24" t="s">
        <v>34</v>
      </c>
      <c r="G65" s="25" t="s">
        <v>75</v>
      </c>
      <c r="H65" s="17" t="s">
        <v>19</v>
      </c>
      <c r="I65" s="26" t="s">
        <v>21</v>
      </c>
      <c r="J65" s="50">
        <v>0</v>
      </c>
      <c r="K65" s="50">
        <f>20845500+20000000+19047552+140000</f>
        <v>60033052</v>
      </c>
      <c r="L65" s="50">
        <f>20000000+19047552</f>
        <v>39047552</v>
      </c>
      <c r="M65" s="50">
        <f t="shared" si="16"/>
        <v>20985500</v>
      </c>
      <c r="N65" s="27">
        <v>0</v>
      </c>
      <c r="O65" s="50">
        <v>140000</v>
      </c>
      <c r="P65" s="28">
        <f t="shared" si="17"/>
        <v>20845500</v>
      </c>
      <c r="Q65" s="27">
        <v>0</v>
      </c>
      <c r="R65" s="29">
        <f t="shared" si="18"/>
        <v>0</v>
      </c>
      <c r="S65" s="27">
        <v>0</v>
      </c>
      <c r="T65" s="30">
        <v>0</v>
      </c>
    </row>
    <row r="66" spans="1:20" s="16" customFormat="1" ht="24.75" customHeight="1" x14ac:dyDescent="0.25">
      <c r="A66" s="49" t="s">
        <v>16</v>
      </c>
      <c r="B66" s="17" t="s">
        <v>47</v>
      </c>
      <c r="C66" s="24" t="s">
        <v>47</v>
      </c>
      <c r="D66" s="17" t="s">
        <v>17</v>
      </c>
      <c r="E66" s="17" t="s">
        <v>28</v>
      </c>
      <c r="F66" s="24" t="s">
        <v>36</v>
      </c>
      <c r="G66" s="25" t="s">
        <v>76</v>
      </c>
      <c r="H66" s="17" t="s">
        <v>19</v>
      </c>
      <c r="I66" s="26" t="s">
        <v>21</v>
      </c>
      <c r="J66" s="50">
        <v>17343000</v>
      </c>
      <c r="K66" s="50">
        <f>915932+303630+23370+12852000+599760+2492000+448000</f>
        <v>17634692</v>
      </c>
      <c r="L66" s="50">
        <f>11000000+43000+599760+12852000+1072771</f>
        <v>25567531</v>
      </c>
      <c r="M66" s="50">
        <f t="shared" si="16"/>
        <v>9410161</v>
      </c>
      <c r="N66" s="27">
        <v>0</v>
      </c>
      <c r="O66" s="50">
        <v>9409214.6799999997</v>
      </c>
      <c r="P66" s="28">
        <f t="shared" si="17"/>
        <v>946.32000000029802</v>
      </c>
      <c r="Q66" s="27">
        <v>1561214.68</v>
      </c>
      <c r="R66" s="29">
        <f t="shared" si="18"/>
        <v>0.16590732932199564</v>
      </c>
      <c r="S66" s="27">
        <v>1234932</v>
      </c>
      <c r="T66" s="30">
        <v>1234932</v>
      </c>
    </row>
    <row r="67" spans="1:20" s="16" customFormat="1" ht="15" customHeight="1" x14ac:dyDescent="0.25">
      <c r="A67" s="49" t="s">
        <v>16</v>
      </c>
      <c r="B67" s="17" t="s">
        <v>47</v>
      </c>
      <c r="C67" s="17" t="s">
        <v>47</v>
      </c>
      <c r="D67" s="17" t="s">
        <v>47</v>
      </c>
      <c r="E67" s="17" t="s">
        <v>30</v>
      </c>
      <c r="F67" s="24" t="s">
        <v>28</v>
      </c>
      <c r="G67" s="25" t="s">
        <v>94</v>
      </c>
      <c r="H67" s="17" t="s">
        <v>19</v>
      </c>
      <c r="I67" s="26" t="s">
        <v>21</v>
      </c>
      <c r="J67" s="50">
        <v>2038000000</v>
      </c>
      <c r="K67" s="50">
        <f>100000000+40000000+81775164+1230832404+84840994.13</f>
        <v>1537448562.1300001</v>
      </c>
      <c r="L67" s="50">
        <v>204274315</v>
      </c>
      <c r="M67" s="50">
        <f>J67+K67-L67</f>
        <v>3371174247.1300001</v>
      </c>
      <c r="N67" s="27">
        <f>M67-[1]REP_EPG034_EjecucionPresupuesta!$T$59</f>
        <v>0</v>
      </c>
      <c r="O67" s="50">
        <v>3364174247.1300001</v>
      </c>
      <c r="P67" s="28">
        <f>+M67-O67-N67</f>
        <v>7000000</v>
      </c>
      <c r="Q67" s="27">
        <v>603496469</v>
      </c>
      <c r="R67" s="29">
        <f t="shared" si="18"/>
        <v>0.17901669411297202</v>
      </c>
      <c r="S67" s="27">
        <v>51760794.350000001</v>
      </c>
      <c r="T67" s="30">
        <v>51760794.350000001</v>
      </c>
    </row>
    <row r="68" spans="1:20" s="16" customFormat="1" ht="24.75" customHeight="1" x14ac:dyDescent="0.25">
      <c r="A68" s="49" t="s">
        <v>16</v>
      </c>
      <c r="B68" s="17" t="s">
        <v>47</v>
      </c>
      <c r="C68" s="17" t="s">
        <v>47</v>
      </c>
      <c r="D68" s="17" t="s">
        <v>47</v>
      </c>
      <c r="E68" s="17" t="s">
        <v>32</v>
      </c>
      <c r="F68" s="24" t="s">
        <v>26</v>
      </c>
      <c r="G68" s="25" t="s">
        <v>95</v>
      </c>
      <c r="H68" s="17" t="s">
        <v>19</v>
      </c>
      <c r="I68" s="26" t="s">
        <v>21</v>
      </c>
      <c r="J68" s="50">
        <v>0</v>
      </c>
      <c r="K68" s="50">
        <v>4978359</v>
      </c>
      <c r="L68" s="50"/>
      <c r="M68" s="50">
        <f t="shared" si="16"/>
        <v>4978359</v>
      </c>
      <c r="N68" s="27">
        <v>0</v>
      </c>
      <c r="O68" s="50">
        <v>4978359</v>
      </c>
      <c r="P68" s="28">
        <f t="shared" si="17"/>
        <v>0</v>
      </c>
      <c r="Q68" s="27">
        <v>2889623</v>
      </c>
      <c r="R68" s="29">
        <f t="shared" si="18"/>
        <v>0.58043684676014728</v>
      </c>
      <c r="S68" s="27">
        <v>1541132</v>
      </c>
      <c r="T68" s="30">
        <v>1541132</v>
      </c>
    </row>
    <row r="69" spans="1:20" s="16" customFormat="1" ht="16.5" customHeight="1" x14ac:dyDescent="0.25">
      <c r="A69" s="49" t="s">
        <v>16</v>
      </c>
      <c r="B69" s="17" t="s">
        <v>47</v>
      </c>
      <c r="C69" s="17" t="s">
        <v>47</v>
      </c>
      <c r="D69" s="17" t="s">
        <v>47</v>
      </c>
      <c r="E69" s="17" t="s">
        <v>32</v>
      </c>
      <c r="F69" s="24" t="s">
        <v>28</v>
      </c>
      <c r="G69" s="25" t="s">
        <v>96</v>
      </c>
      <c r="H69" s="17" t="s">
        <v>19</v>
      </c>
      <c r="I69" s="26" t="s">
        <v>21</v>
      </c>
      <c r="J69" s="50">
        <v>877000000</v>
      </c>
      <c r="K69" s="50">
        <f>215000000+9910000</f>
        <v>224910000</v>
      </c>
      <c r="L69" s="50"/>
      <c r="M69" s="50">
        <f t="shared" si="16"/>
        <v>1101910000</v>
      </c>
      <c r="N69" s="27">
        <v>0</v>
      </c>
      <c r="O69" s="50">
        <v>1092000000</v>
      </c>
      <c r="P69" s="28">
        <f t="shared" si="17"/>
        <v>9910000</v>
      </c>
      <c r="Q69" s="27">
        <v>1053143441</v>
      </c>
      <c r="R69" s="29">
        <f t="shared" si="18"/>
        <v>0.9557436097321923</v>
      </c>
      <c r="S69" s="27">
        <v>678345721.41999996</v>
      </c>
      <c r="T69" s="30">
        <v>591033761.41999996</v>
      </c>
    </row>
    <row r="70" spans="1:20" s="16" customFormat="1" ht="16.5" customHeight="1" x14ac:dyDescent="0.25">
      <c r="A70" s="49" t="s">
        <v>16</v>
      </c>
      <c r="B70" s="17" t="s">
        <v>47</v>
      </c>
      <c r="C70" s="17" t="s">
        <v>47</v>
      </c>
      <c r="D70" s="17" t="s">
        <v>47</v>
      </c>
      <c r="E70" s="17" t="s">
        <v>32</v>
      </c>
      <c r="F70" s="24" t="s">
        <v>30</v>
      </c>
      <c r="G70" s="25" t="s">
        <v>97</v>
      </c>
      <c r="H70" s="17" t="s">
        <v>19</v>
      </c>
      <c r="I70" s="26" t="s">
        <v>21</v>
      </c>
      <c r="J70" s="50">
        <v>407000000</v>
      </c>
      <c r="K70" s="50"/>
      <c r="L70" s="50">
        <v>500000</v>
      </c>
      <c r="M70" s="50">
        <f t="shared" si="16"/>
        <v>406500000</v>
      </c>
      <c r="N70" s="27">
        <v>0</v>
      </c>
      <c r="O70" s="50">
        <v>315873763</v>
      </c>
      <c r="P70" s="28">
        <f t="shared" si="17"/>
        <v>90626237</v>
      </c>
      <c r="Q70" s="27">
        <v>303400000</v>
      </c>
      <c r="R70" s="29">
        <f t="shared" si="18"/>
        <v>0.74637146371463714</v>
      </c>
      <c r="S70" s="27">
        <v>106188820</v>
      </c>
      <c r="T70" s="30">
        <v>106188820</v>
      </c>
    </row>
    <row r="71" spans="1:20" s="16" customFormat="1" ht="16.5" customHeight="1" x14ac:dyDescent="0.25">
      <c r="A71" s="49" t="s">
        <v>16</v>
      </c>
      <c r="B71" s="17" t="s">
        <v>47</v>
      </c>
      <c r="C71" s="17" t="s">
        <v>47</v>
      </c>
      <c r="D71" s="17" t="s">
        <v>47</v>
      </c>
      <c r="E71" s="17" t="s">
        <v>32</v>
      </c>
      <c r="F71" s="24" t="s">
        <v>36</v>
      </c>
      <c r="G71" s="25" t="s">
        <v>98</v>
      </c>
      <c r="H71" s="17" t="s">
        <v>19</v>
      </c>
      <c r="I71" s="26" t="s">
        <v>21</v>
      </c>
      <c r="J71" s="50">
        <v>188000000</v>
      </c>
      <c r="K71" s="50"/>
      <c r="L71" s="50"/>
      <c r="M71" s="50">
        <f t="shared" si="16"/>
        <v>188000000</v>
      </c>
      <c r="N71" s="27">
        <v>0</v>
      </c>
      <c r="O71" s="50">
        <v>127716620</v>
      </c>
      <c r="P71" s="28">
        <f t="shared" si="17"/>
        <v>60283380</v>
      </c>
      <c r="Q71" s="27">
        <v>118195000</v>
      </c>
      <c r="R71" s="29">
        <f t="shared" si="18"/>
        <v>0.62869680851063825</v>
      </c>
      <c r="S71" s="27">
        <v>34580545</v>
      </c>
      <c r="T71" s="30">
        <v>34580545</v>
      </c>
    </row>
    <row r="72" spans="1:20" s="67" customFormat="1" ht="24.75" customHeight="1" x14ac:dyDescent="0.25">
      <c r="A72" s="59" t="s">
        <v>16</v>
      </c>
      <c r="B72" s="60" t="s">
        <v>47</v>
      </c>
      <c r="C72" s="60" t="s">
        <v>47</v>
      </c>
      <c r="D72" s="60" t="s">
        <v>47</v>
      </c>
      <c r="E72" s="60" t="s">
        <v>32</v>
      </c>
      <c r="F72" s="61" t="s">
        <v>38</v>
      </c>
      <c r="G72" s="62" t="s">
        <v>99</v>
      </c>
      <c r="H72" s="60" t="s">
        <v>19</v>
      </c>
      <c r="I72" s="63" t="s">
        <v>21</v>
      </c>
      <c r="J72" s="64">
        <v>5465000000</v>
      </c>
      <c r="K72" s="64"/>
      <c r="L72" s="64">
        <f>520730+9000+29000000+550150+31690406+6516396+70000000+500000000</f>
        <v>638286682</v>
      </c>
      <c r="M72" s="64">
        <f t="shared" si="16"/>
        <v>4826713318</v>
      </c>
      <c r="N72" s="65">
        <v>0</v>
      </c>
      <c r="O72" s="64">
        <v>4220040967</v>
      </c>
      <c r="P72" s="65">
        <f t="shared" si="17"/>
        <v>606672351</v>
      </c>
      <c r="Q72" s="65">
        <v>3214203355</v>
      </c>
      <c r="R72" s="29">
        <f t="shared" si="18"/>
        <v>0.66591967312693834</v>
      </c>
      <c r="S72" s="65">
        <v>3210545559</v>
      </c>
      <c r="T72" s="66">
        <v>3210545559</v>
      </c>
    </row>
    <row r="73" spans="1:20" s="16" customFormat="1" ht="24.75" customHeight="1" x14ac:dyDescent="0.25">
      <c r="A73" s="49" t="s">
        <v>16</v>
      </c>
      <c r="B73" s="17" t="s">
        <v>47</v>
      </c>
      <c r="C73" s="17" t="s">
        <v>47</v>
      </c>
      <c r="D73" s="17" t="s">
        <v>47</v>
      </c>
      <c r="E73" s="17" t="s">
        <v>32</v>
      </c>
      <c r="F73" s="24" t="s">
        <v>38</v>
      </c>
      <c r="G73" s="25" t="s">
        <v>99</v>
      </c>
      <c r="H73" s="17" t="s">
        <v>79</v>
      </c>
      <c r="I73" s="26" t="s">
        <v>100</v>
      </c>
      <c r="J73" s="50">
        <v>900000000</v>
      </c>
      <c r="K73" s="50"/>
      <c r="L73" s="50"/>
      <c r="M73" s="50">
        <f t="shared" si="16"/>
        <v>900000000</v>
      </c>
      <c r="N73" s="27">
        <v>0</v>
      </c>
      <c r="O73" s="50">
        <v>264948680</v>
      </c>
      <c r="P73" s="28">
        <f t="shared" si="17"/>
        <v>635051320</v>
      </c>
      <c r="Q73" s="27">
        <v>264948680</v>
      </c>
      <c r="R73" s="29">
        <f t="shared" si="18"/>
        <v>0.29438742222222219</v>
      </c>
      <c r="S73" s="27">
        <v>174288640</v>
      </c>
      <c r="T73" s="30">
        <v>174288640</v>
      </c>
    </row>
    <row r="74" spans="1:20" s="16" customFormat="1" ht="16.5" customHeight="1" x14ac:dyDescent="0.25">
      <c r="A74" s="49" t="s">
        <v>16</v>
      </c>
      <c r="B74" s="17" t="s">
        <v>47</v>
      </c>
      <c r="C74" s="17" t="s">
        <v>47</v>
      </c>
      <c r="D74" s="17" t="s">
        <v>47</v>
      </c>
      <c r="E74" s="17" t="s">
        <v>34</v>
      </c>
      <c r="F74" s="24" t="s">
        <v>22</v>
      </c>
      <c r="G74" s="25" t="s">
        <v>101</v>
      </c>
      <c r="H74" s="17" t="s">
        <v>19</v>
      </c>
      <c r="I74" s="26" t="s">
        <v>21</v>
      </c>
      <c r="J74" s="50">
        <v>3620000000</v>
      </c>
      <c r="K74" s="50"/>
      <c r="L74" s="50">
        <f>100000000</f>
        <v>100000000</v>
      </c>
      <c r="M74" s="50">
        <f t="shared" si="16"/>
        <v>3520000000</v>
      </c>
      <c r="N74" s="27">
        <v>0</v>
      </c>
      <c r="O74" s="50">
        <v>3480776388</v>
      </c>
      <c r="P74" s="28">
        <f t="shared" si="17"/>
        <v>39223612</v>
      </c>
      <c r="Q74" s="27">
        <v>3387503888</v>
      </c>
      <c r="R74" s="29">
        <f t="shared" si="18"/>
        <v>0.96235905909090913</v>
      </c>
      <c r="S74" s="27">
        <v>3245110117</v>
      </c>
      <c r="T74" s="30">
        <v>3245110117</v>
      </c>
    </row>
    <row r="75" spans="1:20" s="16" customFormat="1" ht="15" customHeight="1" x14ac:dyDescent="0.25">
      <c r="A75" s="49" t="s">
        <v>16</v>
      </c>
      <c r="B75" s="17" t="s">
        <v>47</v>
      </c>
      <c r="C75" s="17" t="s">
        <v>47</v>
      </c>
      <c r="D75" s="17" t="s">
        <v>47</v>
      </c>
      <c r="E75" s="17" t="s">
        <v>34</v>
      </c>
      <c r="F75" s="24" t="s">
        <v>24</v>
      </c>
      <c r="G75" s="25" t="s">
        <v>102</v>
      </c>
      <c r="H75" s="17" t="s">
        <v>19</v>
      </c>
      <c r="I75" s="26" t="s">
        <v>21</v>
      </c>
      <c r="J75" s="50">
        <v>5279000000</v>
      </c>
      <c r="K75" s="50">
        <f>10300000+493480+204274315</f>
        <v>215067795</v>
      </c>
      <c r="L75" s="50">
        <f>136013392+215000000+5066667+368436798</f>
        <v>724516857</v>
      </c>
      <c r="M75" s="50">
        <f t="shared" si="16"/>
        <v>4769550938</v>
      </c>
      <c r="N75" s="27">
        <f>M75-[1]REP_EPG034_EjecucionPresupuesta!$T$67</f>
        <v>0</v>
      </c>
      <c r="O75" s="50">
        <v>4532500455</v>
      </c>
      <c r="P75" s="28">
        <f t="shared" si="17"/>
        <v>237050483</v>
      </c>
      <c r="Q75" s="27">
        <v>4088122384</v>
      </c>
      <c r="R75" s="29">
        <f t="shared" si="18"/>
        <v>0.85712941053403635</v>
      </c>
      <c r="S75" s="27">
        <v>2829132070.1300001</v>
      </c>
      <c r="T75" s="30">
        <v>2567409982.1300001</v>
      </c>
    </row>
    <row r="76" spans="1:20" s="16" customFormat="1" ht="16.5" customHeight="1" x14ac:dyDescent="0.25">
      <c r="A76" s="49" t="s">
        <v>16</v>
      </c>
      <c r="B76" s="17" t="s">
        <v>47</v>
      </c>
      <c r="C76" s="17" t="s">
        <v>47</v>
      </c>
      <c r="D76" s="17" t="s">
        <v>47</v>
      </c>
      <c r="E76" s="17" t="s">
        <v>36</v>
      </c>
      <c r="F76" s="24" t="s">
        <v>24</v>
      </c>
      <c r="G76" s="68" t="s">
        <v>103</v>
      </c>
      <c r="H76" s="17" t="s">
        <v>19</v>
      </c>
      <c r="I76" s="26" t="s">
        <v>21</v>
      </c>
      <c r="J76" s="50">
        <v>879764280</v>
      </c>
      <c r="K76" s="50">
        <f>300000000+80000000+50000000+100000000+200000000</f>
        <v>730000000</v>
      </c>
      <c r="L76" s="50">
        <f>17021000+50922730</f>
        <v>67943730</v>
      </c>
      <c r="M76" s="50">
        <f t="shared" si="16"/>
        <v>1541820550</v>
      </c>
      <c r="N76" s="27"/>
      <c r="O76" s="50">
        <v>1435829784</v>
      </c>
      <c r="P76" s="28">
        <f t="shared" si="17"/>
        <v>105990766</v>
      </c>
      <c r="Q76" s="27">
        <v>1315468700</v>
      </c>
      <c r="R76" s="29">
        <f t="shared" si="18"/>
        <v>0.85319183221419637</v>
      </c>
      <c r="S76" s="27">
        <v>877909763</v>
      </c>
      <c r="T76" s="30">
        <v>870616203</v>
      </c>
    </row>
    <row r="77" spans="1:20" s="16" customFormat="1" ht="41.25" customHeight="1" x14ac:dyDescent="0.25">
      <c r="A77" s="49" t="s">
        <v>16</v>
      </c>
      <c r="B77" s="17" t="s">
        <v>47</v>
      </c>
      <c r="C77" s="17" t="s">
        <v>47</v>
      </c>
      <c r="D77" s="17" t="s">
        <v>47</v>
      </c>
      <c r="E77" s="17" t="s">
        <v>36</v>
      </c>
      <c r="F77" s="24" t="s">
        <v>26</v>
      </c>
      <c r="G77" s="25" t="s">
        <v>104</v>
      </c>
      <c r="H77" s="17" t="s">
        <v>19</v>
      </c>
      <c r="I77" s="26" t="s">
        <v>21</v>
      </c>
      <c r="J77" s="50">
        <v>2108109993</v>
      </c>
      <c r="K77" s="50">
        <f>520730+9000+203225766+2000000+3000000+50922730+17021000+63435412+500000000+3000000+200000000</f>
        <v>1043134638</v>
      </c>
      <c r="L77" s="50">
        <f>15000000+26449310+3000000+10846396+493480+862395606+84840994.13</f>
        <v>1003025786.13</v>
      </c>
      <c r="M77" s="50">
        <f t="shared" si="16"/>
        <v>2148218844.8699999</v>
      </c>
      <c r="N77" s="28">
        <f>M77-[1]REP_EPG034_EjecucionPresupuesta!$T$69</f>
        <v>0</v>
      </c>
      <c r="O77" s="50">
        <v>1977619350</v>
      </c>
      <c r="P77" s="28">
        <f t="shared" si="17"/>
        <v>170599494.86999989</v>
      </c>
      <c r="Q77" s="27">
        <v>1611668485.5</v>
      </c>
      <c r="R77" s="29">
        <f t="shared" si="18"/>
        <v>0.75023477675410233</v>
      </c>
      <c r="S77" s="27">
        <v>884840513.5</v>
      </c>
      <c r="T77" s="30">
        <v>884840513.5</v>
      </c>
    </row>
    <row r="78" spans="1:20" s="16" customFormat="1" ht="33" customHeight="1" x14ac:dyDescent="0.25">
      <c r="A78" s="49" t="s">
        <v>16</v>
      </c>
      <c r="B78" s="17" t="s">
        <v>47</v>
      </c>
      <c r="C78" s="17" t="s">
        <v>47</v>
      </c>
      <c r="D78" s="17" t="s">
        <v>47</v>
      </c>
      <c r="E78" s="17" t="s">
        <v>36</v>
      </c>
      <c r="F78" s="24" t="s">
        <v>28</v>
      </c>
      <c r="G78" s="25" t="s">
        <v>105</v>
      </c>
      <c r="H78" s="17" t="s">
        <v>19</v>
      </c>
      <c r="I78" s="26" t="s">
        <v>21</v>
      </c>
      <c r="J78" s="50">
        <v>168000000</v>
      </c>
      <c r="K78" s="50">
        <f>12374138+12521255</f>
        <v>24895393</v>
      </c>
      <c r="L78" s="50">
        <v>4</v>
      </c>
      <c r="M78" s="50">
        <f t="shared" si="16"/>
        <v>192895389</v>
      </c>
      <c r="N78" s="27">
        <v>0</v>
      </c>
      <c r="O78" s="50">
        <v>102395028.65000001</v>
      </c>
      <c r="P78" s="28">
        <f t="shared" si="17"/>
        <v>90500360.349999994</v>
      </c>
      <c r="Q78" s="27">
        <v>102395028.65000001</v>
      </c>
      <c r="R78" s="29">
        <f t="shared" si="18"/>
        <v>0.53083191454617928</v>
      </c>
      <c r="S78" s="27">
        <v>95339556.650000006</v>
      </c>
      <c r="T78" s="30">
        <v>95339556.650000006</v>
      </c>
    </row>
    <row r="79" spans="1:20" s="16" customFormat="1" ht="15" customHeight="1" x14ac:dyDescent="0.25">
      <c r="A79" s="49" t="s">
        <v>16</v>
      </c>
      <c r="B79" s="17" t="s">
        <v>47</v>
      </c>
      <c r="C79" s="17" t="s">
        <v>47</v>
      </c>
      <c r="D79" s="17" t="s">
        <v>47</v>
      </c>
      <c r="E79" s="17" t="s">
        <v>36</v>
      </c>
      <c r="F79" s="24" t="s">
        <v>30</v>
      </c>
      <c r="G79" s="25" t="s">
        <v>106</v>
      </c>
      <c r="H79" s="17" t="s">
        <v>19</v>
      </c>
      <c r="I79" s="26" t="s">
        <v>21</v>
      </c>
      <c r="J79" s="50">
        <v>23946277574</v>
      </c>
      <c r="K79" s="50"/>
      <c r="L79" s="50">
        <f>503225766+80000000+50000000+75668582+77762727+79369300+400000000</f>
        <v>1266026375</v>
      </c>
      <c r="M79" s="50">
        <f t="shared" si="16"/>
        <v>22680251199</v>
      </c>
      <c r="N79" s="27">
        <v>0</v>
      </c>
      <c r="O79" s="50">
        <v>22471092593.82</v>
      </c>
      <c r="P79" s="28">
        <f t="shared" si="17"/>
        <v>209158605.18000031</v>
      </c>
      <c r="Q79" s="27">
        <v>19919286507.82</v>
      </c>
      <c r="R79" s="29">
        <f t="shared" si="18"/>
        <v>0.87826569172647728</v>
      </c>
      <c r="S79" s="27">
        <v>12248638028</v>
      </c>
      <c r="T79" s="30">
        <v>12227273990</v>
      </c>
    </row>
    <row r="80" spans="1:20" s="16" customFormat="1" ht="15" customHeight="1" x14ac:dyDescent="0.25">
      <c r="A80" s="49" t="s">
        <v>16</v>
      </c>
      <c r="B80" s="17" t="s">
        <v>47</v>
      </c>
      <c r="C80" s="17" t="s">
        <v>47</v>
      </c>
      <c r="D80" s="17" t="s">
        <v>47</v>
      </c>
      <c r="E80" s="17" t="s">
        <v>36</v>
      </c>
      <c r="F80" s="24" t="s">
        <v>30</v>
      </c>
      <c r="G80" s="25" t="s">
        <v>106</v>
      </c>
      <c r="H80" s="17" t="s">
        <v>19</v>
      </c>
      <c r="I80" s="26">
        <v>20</v>
      </c>
      <c r="J80" s="50">
        <v>1973920000</v>
      </c>
      <c r="K80" s="50"/>
      <c r="L80" s="50"/>
      <c r="M80" s="50">
        <f t="shared" si="16"/>
        <v>1973920000</v>
      </c>
      <c r="N80" s="27">
        <v>0</v>
      </c>
      <c r="O80" s="50">
        <v>0</v>
      </c>
      <c r="P80" s="28">
        <f t="shared" si="17"/>
        <v>1973920000</v>
      </c>
      <c r="Q80" s="27">
        <v>0</v>
      </c>
      <c r="R80" s="29">
        <f t="shared" si="18"/>
        <v>0</v>
      </c>
      <c r="S80" s="27">
        <v>0</v>
      </c>
      <c r="T80" s="30">
        <v>0</v>
      </c>
    </row>
    <row r="81" spans="1:259" s="16" customFormat="1" ht="33" customHeight="1" x14ac:dyDescent="0.25">
      <c r="A81" s="49" t="s">
        <v>16</v>
      </c>
      <c r="B81" s="17" t="s">
        <v>47</v>
      </c>
      <c r="C81" s="17" t="s">
        <v>47</v>
      </c>
      <c r="D81" s="17" t="s">
        <v>47</v>
      </c>
      <c r="E81" s="17" t="s">
        <v>36</v>
      </c>
      <c r="F81" s="24" t="s">
        <v>34</v>
      </c>
      <c r="G81" s="25" t="s">
        <v>107</v>
      </c>
      <c r="H81" s="17" t="s">
        <v>19</v>
      </c>
      <c r="I81" s="58" t="s">
        <v>21</v>
      </c>
      <c r="J81" s="50">
        <v>997000000</v>
      </c>
      <c r="K81" s="50">
        <f>136013392+15000000+550150+14327315+3000000+34000000</f>
        <v>202890857</v>
      </c>
      <c r="L81" s="50">
        <f>2000000+92031909+3000000+80000000+32743750+2291180+35000000+12000000+20000000+3299433+3328036+7500000</f>
        <v>293194308</v>
      </c>
      <c r="M81" s="50">
        <f t="shared" si="16"/>
        <v>906696549</v>
      </c>
      <c r="N81" s="27">
        <v>0</v>
      </c>
      <c r="O81" s="50">
        <v>564406275</v>
      </c>
      <c r="P81" s="28">
        <f t="shared" si="17"/>
        <v>342290274</v>
      </c>
      <c r="Q81" s="27">
        <v>455078960</v>
      </c>
      <c r="R81" s="29">
        <f t="shared" si="18"/>
        <v>0.50190878139098327</v>
      </c>
      <c r="S81" s="27">
        <v>184278010.28999999</v>
      </c>
      <c r="T81" s="30">
        <v>168300545.5</v>
      </c>
    </row>
    <row r="82" spans="1:259" s="16" customFormat="1" ht="24.75" customHeight="1" x14ac:dyDescent="0.25">
      <c r="A82" s="49" t="s">
        <v>16</v>
      </c>
      <c r="B82" s="17" t="s">
        <v>47</v>
      </c>
      <c r="C82" s="17" t="s">
        <v>47</v>
      </c>
      <c r="D82" s="17" t="s">
        <v>47</v>
      </c>
      <c r="E82" s="17" t="s">
        <v>38</v>
      </c>
      <c r="F82" s="24" t="s">
        <v>26</v>
      </c>
      <c r="G82" s="25" t="s">
        <v>108</v>
      </c>
      <c r="H82" s="17" t="s">
        <v>19</v>
      </c>
      <c r="I82" s="26" t="s">
        <v>21</v>
      </c>
      <c r="J82" s="50">
        <v>482000000</v>
      </c>
      <c r="K82" s="50">
        <f>11350590+29000000+47449910+31690406</f>
        <v>119490906</v>
      </c>
      <c r="L82" s="50">
        <v>0</v>
      </c>
      <c r="M82" s="50">
        <f t="shared" si="16"/>
        <v>601490906</v>
      </c>
      <c r="N82" s="27"/>
      <c r="O82" s="50">
        <v>584186500</v>
      </c>
      <c r="P82" s="28">
        <f t="shared" si="17"/>
        <v>17304406</v>
      </c>
      <c r="Q82" s="27">
        <v>320186500</v>
      </c>
      <c r="R82" s="29">
        <f t="shared" si="18"/>
        <v>0.53232143130689324</v>
      </c>
      <c r="S82" s="27">
        <v>0</v>
      </c>
      <c r="T82" s="30">
        <v>0</v>
      </c>
    </row>
    <row r="83" spans="1:259" s="16" customFormat="1" ht="41.25" customHeight="1" x14ac:dyDescent="0.25">
      <c r="A83" s="49" t="s">
        <v>16</v>
      </c>
      <c r="B83" s="17" t="s">
        <v>47</v>
      </c>
      <c r="C83" s="17" t="s">
        <v>47</v>
      </c>
      <c r="D83" s="17" t="s">
        <v>47</v>
      </c>
      <c r="E83" s="17" t="s">
        <v>38</v>
      </c>
      <c r="F83" s="24" t="s">
        <v>28</v>
      </c>
      <c r="G83" s="25" t="s">
        <v>109</v>
      </c>
      <c r="H83" s="17" t="s">
        <v>19</v>
      </c>
      <c r="I83" s="26" t="s">
        <v>21</v>
      </c>
      <c r="J83" s="50">
        <v>863000000</v>
      </c>
      <c r="K83" s="50">
        <f>69691050+22000000+800000+5500000</f>
        <v>97991050</v>
      </c>
      <c r="L83" s="50">
        <f>915932+47400000</f>
        <v>48315932</v>
      </c>
      <c r="M83" s="50">
        <f t="shared" si="16"/>
        <v>912675118</v>
      </c>
      <c r="N83" s="27">
        <v>0</v>
      </c>
      <c r="O83" s="50">
        <v>699158852.60000002</v>
      </c>
      <c r="P83" s="28">
        <f t="shared" si="17"/>
        <v>213516265.39999998</v>
      </c>
      <c r="Q83" s="27">
        <v>635014468.60000002</v>
      </c>
      <c r="R83" s="29">
        <f t="shared" si="18"/>
        <v>0.69577274111684506</v>
      </c>
      <c r="S83" s="27">
        <v>466268104.76999998</v>
      </c>
      <c r="T83" s="30">
        <v>448942376.76999998</v>
      </c>
    </row>
    <row r="84" spans="1:259" s="16" customFormat="1" ht="16.5" customHeight="1" x14ac:dyDescent="0.25">
      <c r="A84" s="49" t="s">
        <v>16</v>
      </c>
      <c r="B84" s="17" t="s">
        <v>47</v>
      </c>
      <c r="C84" s="17" t="s">
        <v>47</v>
      </c>
      <c r="D84" s="17" t="s">
        <v>47</v>
      </c>
      <c r="E84" s="17" t="s">
        <v>38</v>
      </c>
      <c r="F84" s="24" t="s">
        <v>32</v>
      </c>
      <c r="G84" s="25" t="s">
        <v>110</v>
      </c>
      <c r="H84" s="17" t="s">
        <v>19</v>
      </c>
      <c r="I84" s="26" t="s">
        <v>21</v>
      </c>
      <c r="J84" s="50">
        <v>781000000</v>
      </c>
      <c r="K84" s="50">
        <f>4000000+20000000+8000000</f>
        <v>32000000</v>
      </c>
      <c r="L84" s="50"/>
      <c r="M84" s="50">
        <f t="shared" si="16"/>
        <v>813000000</v>
      </c>
      <c r="N84" s="27">
        <v>0</v>
      </c>
      <c r="O84" s="50">
        <v>789728204</v>
      </c>
      <c r="P84" s="28">
        <f t="shared" si="17"/>
        <v>23271796</v>
      </c>
      <c r="Q84" s="27">
        <v>645728204</v>
      </c>
      <c r="R84" s="29">
        <f t="shared" si="18"/>
        <v>0.7942536334563346</v>
      </c>
      <c r="S84" s="27">
        <v>73931363</v>
      </c>
      <c r="T84" s="30">
        <v>73931363</v>
      </c>
      <c r="BD84" s="16">
        <v>408287880</v>
      </c>
      <c r="BE84" s="16">
        <v>408287880</v>
      </c>
      <c r="BF84" s="16">
        <v>408287880</v>
      </c>
      <c r="BG84" s="16">
        <v>408287880</v>
      </c>
      <c r="BH84" s="16">
        <v>408287880</v>
      </c>
      <c r="BI84" s="16">
        <v>408287880</v>
      </c>
      <c r="BJ84" s="16">
        <v>408287880</v>
      </c>
      <c r="BK84" s="16">
        <v>408287880</v>
      </c>
      <c r="BL84" s="16">
        <v>408287880</v>
      </c>
      <c r="BM84" s="16">
        <v>408287880</v>
      </c>
      <c r="BN84" s="16">
        <v>408287880</v>
      </c>
      <c r="BO84" s="16">
        <v>408287880</v>
      </c>
      <c r="BP84" s="16">
        <v>408287880</v>
      </c>
      <c r="BQ84" s="16">
        <v>408287880</v>
      </c>
      <c r="BR84" s="16">
        <v>408287880</v>
      </c>
      <c r="BS84" s="16">
        <v>408287880</v>
      </c>
      <c r="BT84" s="16">
        <v>408287880</v>
      </c>
      <c r="BU84" s="16">
        <v>408287880</v>
      </c>
      <c r="BV84" s="16">
        <v>408287880</v>
      </c>
      <c r="BW84" s="16">
        <v>408287880</v>
      </c>
      <c r="BX84" s="16">
        <v>408287880</v>
      </c>
      <c r="BY84" s="16">
        <v>408287880</v>
      </c>
      <c r="BZ84" s="16">
        <v>408287880</v>
      </c>
      <c r="CA84" s="16">
        <v>408287880</v>
      </c>
      <c r="CB84" s="16">
        <v>408287880</v>
      </c>
      <c r="CC84" s="16">
        <v>408287880</v>
      </c>
      <c r="CD84" s="16">
        <v>408287880</v>
      </c>
      <c r="CE84" s="16">
        <v>408287880</v>
      </c>
      <c r="CF84" s="16">
        <v>408287880</v>
      </c>
      <c r="CG84" s="16">
        <v>408287880</v>
      </c>
      <c r="CH84" s="16">
        <v>408287880</v>
      </c>
      <c r="CI84" s="16">
        <v>408287880</v>
      </c>
      <c r="CJ84" s="16">
        <v>408287880</v>
      </c>
      <c r="CK84" s="16">
        <v>408287880</v>
      </c>
      <c r="CL84" s="16">
        <v>408287880</v>
      </c>
      <c r="CM84" s="16">
        <v>408287880</v>
      </c>
      <c r="CN84" s="16">
        <v>408287880</v>
      </c>
      <c r="CO84" s="16">
        <v>408287880</v>
      </c>
      <c r="CP84" s="16">
        <v>408287880</v>
      </c>
      <c r="CQ84" s="16">
        <v>408287880</v>
      </c>
      <c r="CR84" s="16">
        <v>408287880</v>
      </c>
      <c r="CS84" s="16">
        <v>408287880</v>
      </c>
      <c r="CT84" s="16">
        <v>408287880</v>
      </c>
      <c r="CU84" s="16">
        <v>408287880</v>
      </c>
      <c r="CV84" s="16">
        <v>408287880</v>
      </c>
      <c r="CW84" s="16">
        <v>408287880</v>
      </c>
      <c r="CX84" s="16">
        <v>408287880</v>
      </c>
      <c r="CY84" s="16">
        <v>408287880</v>
      </c>
      <c r="CZ84" s="16">
        <v>408287880</v>
      </c>
      <c r="DA84" s="16">
        <v>408287880</v>
      </c>
      <c r="DB84" s="16">
        <v>408287880</v>
      </c>
      <c r="DC84" s="16">
        <v>408287880</v>
      </c>
      <c r="DD84" s="16">
        <v>408287880</v>
      </c>
      <c r="DE84" s="16">
        <v>408287880</v>
      </c>
      <c r="DF84" s="16">
        <v>408287880</v>
      </c>
      <c r="DG84" s="16">
        <v>408287880</v>
      </c>
      <c r="DH84" s="16">
        <v>408287880</v>
      </c>
      <c r="DI84" s="16">
        <v>408287880</v>
      </c>
      <c r="DJ84" s="16">
        <v>408287880</v>
      </c>
      <c r="DK84" s="16">
        <v>408287880</v>
      </c>
      <c r="DL84" s="16">
        <v>408287880</v>
      </c>
      <c r="DM84" s="16">
        <v>408287880</v>
      </c>
      <c r="DN84" s="16">
        <v>408287880</v>
      </c>
      <c r="DO84" s="16">
        <v>408287880</v>
      </c>
      <c r="DP84" s="16">
        <v>408287880</v>
      </c>
      <c r="DQ84" s="16">
        <v>408287880</v>
      </c>
      <c r="DR84" s="16">
        <v>408287880</v>
      </c>
      <c r="DS84" s="16">
        <v>408287880</v>
      </c>
      <c r="DT84" s="16">
        <v>408287880</v>
      </c>
      <c r="DU84" s="16">
        <v>408287880</v>
      </c>
      <c r="DV84" s="16">
        <v>408287880</v>
      </c>
      <c r="DW84" s="16">
        <v>408287880</v>
      </c>
      <c r="DX84" s="16">
        <v>408287880</v>
      </c>
      <c r="DY84" s="16">
        <v>408287880</v>
      </c>
      <c r="DZ84" s="16">
        <v>408287880</v>
      </c>
      <c r="EA84" s="16">
        <v>408287880</v>
      </c>
      <c r="EB84" s="16">
        <v>408287880</v>
      </c>
      <c r="EC84" s="16">
        <v>408287880</v>
      </c>
      <c r="ED84" s="16">
        <v>408287880</v>
      </c>
      <c r="EE84" s="16">
        <v>408287880</v>
      </c>
      <c r="EF84" s="16">
        <v>408287880</v>
      </c>
      <c r="EG84" s="16">
        <v>408287880</v>
      </c>
      <c r="EH84" s="16">
        <v>408287880</v>
      </c>
      <c r="EI84" s="16">
        <v>408287880</v>
      </c>
      <c r="EJ84" s="16">
        <v>408287880</v>
      </c>
      <c r="EK84" s="16">
        <v>408287880</v>
      </c>
      <c r="EL84" s="16">
        <v>408287880</v>
      </c>
      <c r="EM84" s="16">
        <v>408287880</v>
      </c>
      <c r="EN84" s="16">
        <v>408287880</v>
      </c>
      <c r="EO84" s="16">
        <v>408287880</v>
      </c>
      <c r="EP84" s="16">
        <v>408287880</v>
      </c>
      <c r="EQ84" s="16">
        <v>408287880</v>
      </c>
      <c r="ER84" s="16">
        <v>408287880</v>
      </c>
      <c r="ES84" s="16">
        <v>408287880</v>
      </c>
      <c r="ET84" s="16">
        <v>408287880</v>
      </c>
      <c r="EU84" s="16">
        <v>408287880</v>
      </c>
      <c r="EV84" s="16">
        <v>408287880</v>
      </c>
      <c r="EW84" s="16">
        <v>408287880</v>
      </c>
      <c r="EX84" s="16">
        <v>408287880</v>
      </c>
      <c r="EY84" s="16">
        <v>408287880</v>
      </c>
      <c r="EZ84" s="16">
        <v>408287880</v>
      </c>
      <c r="FA84" s="16">
        <v>408287880</v>
      </c>
      <c r="FB84" s="16">
        <v>408287880</v>
      </c>
      <c r="FC84" s="16">
        <v>408287880</v>
      </c>
      <c r="FD84" s="16">
        <v>408287880</v>
      </c>
      <c r="FE84" s="16">
        <v>408287880</v>
      </c>
      <c r="FF84" s="16">
        <v>408287880</v>
      </c>
      <c r="FG84" s="16">
        <v>408287880</v>
      </c>
      <c r="FH84" s="16">
        <v>408287880</v>
      </c>
      <c r="FI84" s="16">
        <v>408287880</v>
      </c>
      <c r="FJ84" s="16">
        <v>408287880</v>
      </c>
      <c r="FK84" s="16">
        <v>408287880</v>
      </c>
      <c r="FL84" s="16">
        <v>408287880</v>
      </c>
      <c r="FM84" s="16">
        <v>408287880</v>
      </c>
      <c r="FN84" s="16">
        <v>408287880</v>
      </c>
      <c r="FO84" s="16">
        <v>408287880</v>
      </c>
      <c r="FP84" s="16">
        <v>408287880</v>
      </c>
      <c r="FQ84" s="16">
        <v>408287880</v>
      </c>
      <c r="FR84" s="16">
        <v>408287880</v>
      </c>
      <c r="FS84" s="16">
        <v>408287880</v>
      </c>
      <c r="FT84" s="16">
        <v>408287880</v>
      </c>
      <c r="FU84" s="16">
        <v>408287880</v>
      </c>
      <c r="FV84" s="16">
        <v>408287880</v>
      </c>
      <c r="FW84" s="16">
        <v>408287880</v>
      </c>
      <c r="FX84" s="16">
        <v>408287880</v>
      </c>
      <c r="FY84" s="16">
        <v>408287880</v>
      </c>
      <c r="FZ84" s="16">
        <v>408287880</v>
      </c>
      <c r="GA84" s="16">
        <v>408287880</v>
      </c>
      <c r="GB84" s="16">
        <v>408287880</v>
      </c>
      <c r="GC84" s="16">
        <v>408287880</v>
      </c>
      <c r="GD84" s="16">
        <v>408287880</v>
      </c>
      <c r="GE84" s="16">
        <v>408287880</v>
      </c>
      <c r="GF84" s="16">
        <v>408287880</v>
      </c>
      <c r="GG84" s="16">
        <v>408287880</v>
      </c>
      <c r="GH84" s="16">
        <v>408287880</v>
      </c>
      <c r="GI84" s="16">
        <v>408287880</v>
      </c>
      <c r="GJ84" s="16">
        <v>408287880</v>
      </c>
      <c r="GK84" s="16">
        <v>408287880</v>
      </c>
      <c r="GL84" s="16">
        <v>408287880</v>
      </c>
      <c r="GM84" s="16">
        <v>408287880</v>
      </c>
      <c r="GN84" s="16">
        <v>408287880</v>
      </c>
      <c r="GO84" s="16">
        <v>408287880</v>
      </c>
      <c r="GP84" s="16">
        <v>408287880</v>
      </c>
      <c r="GQ84" s="16">
        <v>408287880</v>
      </c>
      <c r="GR84" s="16">
        <v>408287880</v>
      </c>
      <c r="GS84" s="16">
        <v>408287880</v>
      </c>
      <c r="GT84" s="16">
        <v>408287880</v>
      </c>
      <c r="GU84" s="16">
        <v>408287880</v>
      </c>
      <c r="GV84" s="16">
        <v>408287880</v>
      </c>
      <c r="GW84" s="16">
        <v>408287880</v>
      </c>
      <c r="GX84" s="16">
        <v>408287880</v>
      </c>
      <c r="GY84" s="16">
        <v>408287880</v>
      </c>
      <c r="GZ84" s="16">
        <v>408287880</v>
      </c>
      <c r="HA84" s="16">
        <v>408287880</v>
      </c>
      <c r="HB84" s="16">
        <v>408287880</v>
      </c>
      <c r="HC84" s="16">
        <v>408287880</v>
      </c>
      <c r="HD84" s="16">
        <v>408287880</v>
      </c>
      <c r="HE84" s="16">
        <v>408287880</v>
      </c>
      <c r="HF84" s="16">
        <v>408287880</v>
      </c>
      <c r="HG84" s="16">
        <v>408287880</v>
      </c>
      <c r="HH84" s="16">
        <v>408287880</v>
      </c>
      <c r="HI84" s="16">
        <v>408287880</v>
      </c>
      <c r="HJ84" s="16">
        <v>408287880</v>
      </c>
      <c r="HK84" s="16">
        <v>408287880</v>
      </c>
      <c r="HL84" s="16">
        <v>408287880</v>
      </c>
      <c r="HM84" s="16">
        <v>408287880</v>
      </c>
      <c r="HN84" s="16">
        <v>408287880</v>
      </c>
      <c r="HO84" s="16">
        <v>408287880</v>
      </c>
      <c r="HP84" s="16">
        <v>408287880</v>
      </c>
      <c r="HQ84" s="16">
        <v>408287880</v>
      </c>
      <c r="HR84" s="16">
        <v>408287880</v>
      </c>
      <c r="HS84" s="16">
        <v>408287880</v>
      </c>
      <c r="HT84" s="16">
        <v>408287880</v>
      </c>
      <c r="HU84" s="16">
        <v>408287880</v>
      </c>
      <c r="HV84" s="16">
        <v>408287880</v>
      </c>
      <c r="HW84" s="16">
        <v>408287880</v>
      </c>
      <c r="HX84" s="16">
        <v>408287880</v>
      </c>
      <c r="HY84" s="16">
        <v>408287880</v>
      </c>
      <c r="HZ84" s="16">
        <v>408287880</v>
      </c>
      <c r="IA84" s="16">
        <v>408287880</v>
      </c>
      <c r="IB84" s="16">
        <v>408287880</v>
      </c>
      <c r="IC84" s="16">
        <v>408287880</v>
      </c>
      <c r="ID84" s="16">
        <v>408287880</v>
      </c>
      <c r="IE84" s="16">
        <v>408287880</v>
      </c>
      <c r="IF84" s="16">
        <v>408287880</v>
      </c>
      <c r="IG84" s="16">
        <v>408287880</v>
      </c>
      <c r="IH84" s="16">
        <v>408287880</v>
      </c>
      <c r="II84" s="16">
        <v>408287880</v>
      </c>
      <c r="IJ84" s="16">
        <v>408287880</v>
      </c>
      <c r="IK84" s="16">
        <v>408287880</v>
      </c>
      <c r="IL84" s="16">
        <v>408287880</v>
      </c>
      <c r="IM84" s="16">
        <v>408287880</v>
      </c>
      <c r="IN84" s="16">
        <v>408287880</v>
      </c>
      <c r="IO84" s="16">
        <v>408287880</v>
      </c>
      <c r="IP84" s="16">
        <v>408287880</v>
      </c>
      <c r="IQ84" s="16">
        <v>408287880</v>
      </c>
      <c r="IR84" s="16">
        <v>408287880</v>
      </c>
      <c r="IS84" s="16">
        <v>408287880</v>
      </c>
      <c r="IT84" s="16">
        <v>408287880</v>
      </c>
      <c r="IU84" s="16">
        <v>408287880</v>
      </c>
      <c r="IV84" s="16">
        <v>408287880</v>
      </c>
      <c r="IW84" s="16">
        <v>408287880</v>
      </c>
      <c r="IX84" s="16">
        <v>408287880</v>
      </c>
      <c r="IY84" s="16">
        <v>408287880</v>
      </c>
    </row>
    <row r="85" spans="1:259" s="16" customFormat="1" ht="16.5" customHeight="1" x14ac:dyDescent="0.25">
      <c r="A85" s="49" t="s">
        <v>16</v>
      </c>
      <c r="B85" s="17" t="s">
        <v>47</v>
      </c>
      <c r="C85" s="17" t="s">
        <v>47</v>
      </c>
      <c r="D85" s="17" t="s">
        <v>47</v>
      </c>
      <c r="E85" s="17" t="s">
        <v>40</v>
      </c>
      <c r="F85" s="24"/>
      <c r="G85" s="25" t="s">
        <v>111</v>
      </c>
      <c r="H85" s="17" t="s">
        <v>19</v>
      </c>
      <c r="I85" s="26" t="s">
        <v>21</v>
      </c>
      <c r="J85" s="50">
        <v>1926000000</v>
      </c>
      <c r="K85" s="50">
        <v>20000000</v>
      </c>
      <c r="L85" s="50"/>
      <c r="M85" s="50">
        <f t="shared" si="16"/>
        <v>1946000000</v>
      </c>
      <c r="N85" s="27">
        <f>M85-[1]REP_EPG034_EjecucionPresupuesta!$T$77</f>
        <v>0</v>
      </c>
      <c r="O85" s="50">
        <v>1946000000</v>
      </c>
      <c r="P85" s="28">
        <f t="shared" si="17"/>
        <v>0</v>
      </c>
      <c r="Q85" s="27">
        <v>1590242271.7</v>
      </c>
      <c r="R85" s="29">
        <f t="shared" si="18"/>
        <v>0.81718513448098662</v>
      </c>
      <c r="S85" s="27">
        <v>1494541421.7</v>
      </c>
      <c r="T85" s="30">
        <v>1491949697.7</v>
      </c>
    </row>
    <row r="86" spans="1:259" ht="16.5" customHeight="1" x14ac:dyDescent="0.25">
      <c r="A86" s="69" t="s">
        <v>16</v>
      </c>
      <c r="B86" s="37" t="s">
        <v>47</v>
      </c>
      <c r="C86" s="37"/>
      <c r="D86" s="37"/>
      <c r="E86" s="37"/>
      <c r="F86" s="37"/>
      <c r="G86" s="37" t="s">
        <v>112</v>
      </c>
      <c r="H86" s="37" t="s">
        <v>19</v>
      </c>
      <c r="I86" s="37" t="s">
        <v>21</v>
      </c>
      <c r="J86" s="40">
        <f t="shared" ref="J86:Q86" si="19">J45+J36</f>
        <v>54584571847</v>
      </c>
      <c r="K86" s="40">
        <f t="shared" si="19"/>
        <v>5758286047.6300001</v>
      </c>
      <c r="L86" s="40">
        <f t="shared" si="19"/>
        <v>5764802443.6300001</v>
      </c>
      <c r="M86" s="40">
        <f>M45+M36</f>
        <v>54578055451</v>
      </c>
      <c r="N86" s="70">
        <f t="shared" si="19"/>
        <v>0</v>
      </c>
      <c r="O86" s="40">
        <f t="shared" si="19"/>
        <v>51468001002.860008</v>
      </c>
      <c r="P86" s="40">
        <f t="shared" si="19"/>
        <v>3110054448.1400003</v>
      </c>
      <c r="Q86" s="40">
        <f t="shared" si="19"/>
        <v>41966060412.43</v>
      </c>
      <c r="R86" s="41">
        <f>IF(Q86&gt;1,Q86/(M86),0)</f>
        <v>0.76891820468222782</v>
      </c>
      <c r="S86" s="40">
        <f>S45+S36</f>
        <v>27621453138.680004</v>
      </c>
      <c r="T86" s="42">
        <f>T45+T36</f>
        <v>26751603936.77</v>
      </c>
      <c r="U86" s="3"/>
    </row>
    <row r="87" spans="1:259" ht="16.5" customHeight="1" x14ac:dyDescent="0.25">
      <c r="A87" s="69" t="s">
        <v>16</v>
      </c>
      <c r="B87" s="37" t="s">
        <v>47</v>
      </c>
      <c r="C87" s="37"/>
      <c r="D87" s="37"/>
      <c r="E87" s="37"/>
      <c r="F87" s="37"/>
      <c r="G87" s="37" t="s">
        <v>112</v>
      </c>
      <c r="H87" s="37" t="s">
        <v>79</v>
      </c>
      <c r="I87" s="37">
        <v>20</v>
      </c>
      <c r="J87" s="40">
        <f t="shared" ref="J87:Q87" si="20">J46</f>
        <v>2873920000</v>
      </c>
      <c r="K87" s="40">
        <f t="shared" si="20"/>
        <v>0</v>
      </c>
      <c r="L87" s="40">
        <f t="shared" si="20"/>
        <v>0</v>
      </c>
      <c r="M87" s="40">
        <f t="shared" si="20"/>
        <v>2873920000</v>
      </c>
      <c r="N87" s="40">
        <f t="shared" si="20"/>
        <v>0</v>
      </c>
      <c r="O87" s="40">
        <f t="shared" si="20"/>
        <v>264948680</v>
      </c>
      <c r="P87" s="40">
        <f t="shared" si="20"/>
        <v>2608971320</v>
      </c>
      <c r="Q87" s="40">
        <f t="shared" si="20"/>
        <v>264948680</v>
      </c>
      <c r="R87" s="41">
        <f t="shared" ref="R87" si="21">IF(Q87&gt;1,Q87/(M87-N87),0)</f>
        <v>9.2190694243402746E-2</v>
      </c>
      <c r="S87" s="40">
        <f>S46</f>
        <v>174288640</v>
      </c>
      <c r="T87" s="42">
        <f>T46</f>
        <v>174288640</v>
      </c>
      <c r="U87" s="3"/>
    </row>
    <row r="88" spans="1:259" ht="15.75" customHeight="1" x14ac:dyDescent="0.25">
      <c r="A88" s="129" t="s">
        <v>113</v>
      </c>
      <c r="B88" s="129"/>
      <c r="C88" s="129"/>
      <c r="D88" s="129"/>
      <c r="E88" s="129"/>
      <c r="F88" s="129"/>
      <c r="G88" s="129"/>
      <c r="H88" s="129"/>
      <c r="I88" s="129"/>
      <c r="J88" s="44">
        <f>SUM(J86:J87)</f>
        <v>57458491847</v>
      </c>
      <c r="K88" s="44">
        <f>SUM(K86:K87)</f>
        <v>5758286047.6300001</v>
      </c>
      <c r="L88" s="44">
        <f>SUM(L86:L87)</f>
        <v>5764802443.6300001</v>
      </c>
      <c r="M88" s="44">
        <f>SUM(M86:M87)</f>
        <v>57451975451</v>
      </c>
      <c r="N88" s="71"/>
      <c r="O88" s="44">
        <f>SUM(O86:O87)</f>
        <v>51732949682.860008</v>
      </c>
      <c r="P88" s="44">
        <f>SUM(P86:P87)</f>
        <v>5719025768.1400003</v>
      </c>
      <c r="Q88" s="44">
        <f>SUM(Q86:Q87)</f>
        <v>42231009092.43</v>
      </c>
      <c r="R88" s="41">
        <f>IF(Q88&gt;1,Q88/(M88),0)</f>
        <v>0.73506626640624828</v>
      </c>
      <c r="S88" s="44">
        <f>SUM(S86:S87)</f>
        <v>27795741778.680004</v>
      </c>
      <c r="T88" s="45">
        <f>SUM(T86:T87)</f>
        <v>26925892576.77</v>
      </c>
    </row>
    <row r="89" spans="1:259" ht="15.75" customHeight="1" x14ac:dyDescent="0.25">
      <c r="A89" s="126" t="s">
        <v>114</v>
      </c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</row>
    <row r="90" spans="1:259" s="36" customFormat="1" ht="24.75" customHeight="1" x14ac:dyDescent="0.25">
      <c r="A90" s="46" t="s">
        <v>16</v>
      </c>
      <c r="B90" s="7" t="s">
        <v>56</v>
      </c>
      <c r="C90" s="7" t="s">
        <v>56</v>
      </c>
      <c r="D90" s="7"/>
      <c r="E90" s="7"/>
      <c r="F90" s="7"/>
      <c r="G90" s="18" t="s">
        <v>115</v>
      </c>
      <c r="H90" s="7" t="s">
        <v>19</v>
      </c>
      <c r="I90" s="19">
        <v>10</v>
      </c>
      <c r="J90" s="22">
        <f t="shared" ref="J90:Q91" si="22">J91</f>
        <v>1700000000</v>
      </c>
      <c r="K90" s="22">
        <f t="shared" si="22"/>
        <v>0</v>
      </c>
      <c r="L90" s="20">
        <f t="shared" si="22"/>
        <v>0</v>
      </c>
      <c r="M90" s="20">
        <f t="shared" si="22"/>
        <v>1700000000</v>
      </c>
      <c r="N90" s="22">
        <f t="shared" si="22"/>
        <v>0</v>
      </c>
      <c r="O90" s="22">
        <f t="shared" si="22"/>
        <v>1700000000</v>
      </c>
      <c r="P90" s="20">
        <f t="shared" si="22"/>
        <v>0</v>
      </c>
      <c r="Q90" s="22">
        <f t="shared" si="22"/>
        <v>1694128860</v>
      </c>
      <c r="R90" s="33">
        <f>IF(Q90&gt;1,Q90/(M90-N90),0)</f>
        <v>0.99654638823529407</v>
      </c>
      <c r="S90" s="22">
        <f>S91</f>
        <v>191595279</v>
      </c>
      <c r="T90" s="34">
        <f>T91</f>
        <v>191595279</v>
      </c>
    </row>
    <row r="91" spans="1:259" s="36" customFormat="1" ht="24.75" customHeight="1" x14ac:dyDescent="0.25">
      <c r="A91" s="46" t="s">
        <v>16</v>
      </c>
      <c r="B91" s="7" t="s">
        <v>56</v>
      </c>
      <c r="C91" s="7" t="s">
        <v>56</v>
      </c>
      <c r="D91" s="7" t="s">
        <v>17</v>
      </c>
      <c r="E91" s="7"/>
      <c r="F91" s="7"/>
      <c r="G91" s="18" t="s">
        <v>116</v>
      </c>
      <c r="H91" s="7" t="s">
        <v>19</v>
      </c>
      <c r="I91" s="19">
        <v>10</v>
      </c>
      <c r="J91" s="22">
        <f t="shared" si="22"/>
        <v>1700000000</v>
      </c>
      <c r="K91" s="22">
        <f t="shared" si="22"/>
        <v>0</v>
      </c>
      <c r="L91" s="20">
        <f t="shared" si="22"/>
        <v>0</v>
      </c>
      <c r="M91" s="20">
        <f t="shared" si="22"/>
        <v>1700000000</v>
      </c>
      <c r="N91" s="22">
        <f t="shared" si="22"/>
        <v>0</v>
      </c>
      <c r="O91" s="22">
        <f t="shared" si="22"/>
        <v>1700000000</v>
      </c>
      <c r="P91" s="20">
        <f t="shared" si="22"/>
        <v>0</v>
      </c>
      <c r="Q91" s="22">
        <f t="shared" si="22"/>
        <v>1694128860</v>
      </c>
      <c r="R91" s="33">
        <f t="shared" ref="R91:R99" si="23">IF(Q91&gt;1,Q91/(M91-N91),0)</f>
        <v>0.99654638823529407</v>
      </c>
      <c r="S91" s="22">
        <f>S92</f>
        <v>191595279</v>
      </c>
      <c r="T91" s="34">
        <f>T92</f>
        <v>191595279</v>
      </c>
    </row>
    <row r="92" spans="1:259" s="36" customFormat="1" ht="24.75" customHeight="1" x14ac:dyDescent="0.25">
      <c r="A92" s="49" t="s">
        <v>16</v>
      </c>
      <c r="B92" s="17" t="s">
        <v>56</v>
      </c>
      <c r="C92" s="17" t="s">
        <v>56</v>
      </c>
      <c r="D92" s="17" t="s">
        <v>17</v>
      </c>
      <c r="E92" s="24" t="s">
        <v>117</v>
      </c>
      <c r="F92" s="17"/>
      <c r="G92" s="25" t="s">
        <v>118</v>
      </c>
      <c r="H92" s="17" t="s">
        <v>19</v>
      </c>
      <c r="I92" s="26">
        <v>10</v>
      </c>
      <c r="J92" s="28">
        <v>1700000000</v>
      </c>
      <c r="K92" s="28">
        <v>0</v>
      </c>
      <c r="L92" s="28"/>
      <c r="M92" s="28">
        <f t="shared" ref="M92:M99" si="24">J92+K92-L92</f>
        <v>1700000000</v>
      </c>
      <c r="N92" s="28">
        <v>0</v>
      </c>
      <c r="O92" s="27">
        <v>1700000000</v>
      </c>
      <c r="P92" s="28">
        <f>+M92-O92-N92</f>
        <v>0</v>
      </c>
      <c r="Q92" s="27">
        <v>1694128860</v>
      </c>
      <c r="R92" s="33">
        <f t="shared" si="23"/>
        <v>0.99654638823529407</v>
      </c>
      <c r="S92" s="27">
        <v>191595279</v>
      </c>
      <c r="T92" s="30">
        <v>191595279</v>
      </c>
    </row>
    <row r="93" spans="1:259" s="36" customFormat="1" ht="24.75" customHeight="1" x14ac:dyDescent="0.25">
      <c r="A93" s="46" t="s">
        <v>16</v>
      </c>
      <c r="B93" s="7" t="s">
        <v>56</v>
      </c>
      <c r="C93" s="7" t="s">
        <v>119</v>
      </c>
      <c r="D93" s="7"/>
      <c r="E93" s="7"/>
      <c r="F93" s="7"/>
      <c r="G93" s="18" t="s">
        <v>120</v>
      </c>
      <c r="H93" s="7" t="s">
        <v>19</v>
      </c>
      <c r="I93" s="19">
        <v>10</v>
      </c>
      <c r="J93" s="22">
        <f t="shared" ref="J93:L94" si="25">J94</f>
        <v>1416000000</v>
      </c>
      <c r="K93" s="20">
        <f t="shared" si="25"/>
        <v>0</v>
      </c>
      <c r="L93" s="20">
        <f t="shared" si="25"/>
        <v>0</v>
      </c>
      <c r="M93" s="20">
        <f t="shared" si="24"/>
        <v>1416000000</v>
      </c>
      <c r="N93" s="22">
        <v>0</v>
      </c>
      <c r="O93" s="22">
        <f t="shared" ref="O93:Q94" si="26">O94</f>
        <v>1324929703</v>
      </c>
      <c r="P93" s="20">
        <f t="shared" si="26"/>
        <v>91070297</v>
      </c>
      <c r="Q93" s="22">
        <f t="shared" si="26"/>
        <v>1324929703</v>
      </c>
      <c r="R93" s="33">
        <f t="shared" si="23"/>
        <v>0.93568481850282481</v>
      </c>
      <c r="S93" s="22">
        <f>S94</f>
        <v>1160034826</v>
      </c>
      <c r="T93" s="34">
        <f>T94</f>
        <v>1160034826</v>
      </c>
    </row>
    <row r="94" spans="1:259" s="36" customFormat="1" ht="24.75" customHeight="1" x14ac:dyDescent="0.25">
      <c r="A94" s="46" t="s">
        <v>16</v>
      </c>
      <c r="B94" s="7" t="s">
        <v>56</v>
      </c>
      <c r="C94" s="7" t="s">
        <v>119</v>
      </c>
      <c r="D94" s="7" t="s">
        <v>47</v>
      </c>
      <c r="E94" s="7"/>
      <c r="F94" s="7"/>
      <c r="G94" s="18" t="s">
        <v>121</v>
      </c>
      <c r="H94" s="7" t="s">
        <v>19</v>
      </c>
      <c r="I94" s="19">
        <v>10</v>
      </c>
      <c r="J94" s="20">
        <f t="shared" si="25"/>
        <v>1416000000</v>
      </c>
      <c r="K94" s="20">
        <f t="shared" si="25"/>
        <v>0</v>
      </c>
      <c r="L94" s="20">
        <f t="shared" si="25"/>
        <v>0</v>
      </c>
      <c r="M94" s="20">
        <f t="shared" si="24"/>
        <v>1416000000</v>
      </c>
      <c r="N94" s="20"/>
      <c r="O94" s="20">
        <f t="shared" si="26"/>
        <v>1324929703</v>
      </c>
      <c r="P94" s="20">
        <f t="shared" si="26"/>
        <v>91070297</v>
      </c>
      <c r="Q94" s="22">
        <f t="shared" si="26"/>
        <v>1324929703</v>
      </c>
      <c r="R94" s="33">
        <f t="shared" si="23"/>
        <v>0.93568481850282481</v>
      </c>
      <c r="S94" s="22">
        <f>S95</f>
        <v>1160034826</v>
      </c>
      <c r="T94" s="34">
        <f>T95</f>
        <v>1160034826</v>
      </c>
    </row>
    <row r="95" spans="1:259" s="16" customFormat="1" ht="24.75" customHeight="1" x14ac:dyDescent="0.25">
      <c r="A95" s="46" t="s">
        <v>16</v>
      </c>
      <c r="B95" s="7" t="s">
        <v>56</v>
      </c>
      <c r="C95" s="7" t="s">
        <v>119</v>
      </c>
      <c r="D95" s="7" t="s">
        <v>47</v>
      </c>
      <c r="E95" s="7" t="s">
        <v>122</v>
      </c>
      <c r="F95" s="7"/>
      <c r="G95" s="18" t="s">
        <v>123</v>
      </c>
      <c r="H95" s="7" t="s">
        <v>19</v>
      </c>
      <c r="I95" s="19">
        <v>10</v>
      </c>
      <c r="J95" s="20">
        <f>J96+J97</f>
        <v>1416000000</v>
      </c>
      <c r="K95" s="20">
        <f>K96+K97</f>
        <v>0</v>
      </c>
      <c r="L95" s="20">
        <f>L96+L97</f>
        <v>0</v>
      </c>
      <c r="M95" s="20">
        <f t="shared" si="24"/>
        <v>1416000000</v>
      </c>
      <c r="N95" s="20">
        <f>N96+N97</f>
        <v>0</v>
      </c>
      <c r="O95" s="20">
        <f>O96+O97</f>
        <v>1324929703</v>
      </c>
      <c r="P95" s="20">
        <f>P96+P97</f>
        <v>91070297</v>
      </c>
      <c r="Q95" s="20">
        <f>Q96+Q97</f>
        <v>1324929703</v>
      </c>
      <c r="R95" s="33">
        <f t="shared" si="23"/>
        <v>0.93568481850282481</v>
      </c>
      <c r="S95" s="22">
        <f>S96+S97</f>
        <v>1160034826</v>
      </c>
      <c r="T95" s="34">
        <f>T96+T97</f>
        <v>1160034826</v>
      </c>
    </row>
    <row r="96" spans="1:259" s="16" customFormat="1" ht="16.5" customHeight="1" x14ac:dyDescent="0.25">
      <c r="A96" s="49" t="s">
        <v>16</v>
      </c>
      <c r="B96" s="17" t="s">
        <v>56</v>
      </c>
      <c r="C96" s="17" t="s">
        <v>119</v>
      </c>
      <c r="D96" s="17" t="s">
        <v>47</v>
      </c>
      <c r="E96" s="17" t="s">
        <v>122</v>
      </c>
      <c r="F96" s="17" t="s">
        <v>22</v>
      </c>
      <c r="G96" s="25" t="s">
        <v>124</v>
      </c>
      <c r="H96" s="17" t="s">
        <v>19</v>
      </c>
      <c r="I96" s="17" t="s">
        <v>21</v>
      </c>
      <c r="J96" s="28">
        <v>946269000</v>
      </c>
      <c r="K96" s="28"/>
      <c r="L96" s="28"/>
      <c r="M96" s="28">
        <f t="shared" si="24"/>
        <v>946269000</v>
      </c>
      <c r="N96" s="27"/>
      <c r="O96" s="28">
        <v>860196725</v>
      </c>
      <c r="P96" s="28">
        <f>+M96-O96-N96</f>
        <v>86072275</v>
      </c>
      <c r="Q96" s="28">
        <v>860196725</v>
      </c>
      <c r="R96" s="29">
        <f>IF(Q96&gt;1,Q96/(M96-N96),0)</f>
        <v>0.90904037329765641</v>
      </c>
      <c r="S96" s="28">
        <v>706486624</v>
      </c>
      <c r="T96" s="31">
        <v>706486624</v>
      </c>
    </row>
    <row r="97" spans="1:22" s="36" customFormat="1" ht="16.5" customHeight="1" x14ac:dyDescent="0.25">
      <c r="A97" s="49" t="s">
        <v>16</v>
      </c>
      <c r="B97" s="17" t="s">
        <v>56</v>
      </c>
      <c r="C97" s="17" t="s">
        <v>119</v>
      </c>
      <c r="D97" s="17" t="s">
        <v>47</v>
      </c>
      <c r="E97" s="17" t="s">
        <v>122</v>
      </c>
      <c r="F97" s="17" t="s">
        <v>24</v>
      </c>
      <c r="G97" s="25" t="s">
        <v>125</v>
      </c>
      <c r="H97" s="17" t="s">
        <v>19</v>
      </c>
      <c r="I97" s="17" t="s">
        <v>21</v>
      </c>
      <c r="J97" s="28">
        <v>469731000</v>
      </c>
      <c r="K97" s="28"/>
      <c r="L97" s="28"/>
      <c r="M97" s="28">
        <f t="shared" si="24"/>
        <v>469731000</v>
      </c>
      <c r="N97" s="27">
        <v>0</v>
      </c>
      <c r="O97" s="28">
        <v>464732978</v>
      </c>
      <c r="P97" s="28">
        <f>+M97-O97-N97</f>
        <v>4998022</v>
      </c>
      <c r="Q97" s="28">
        <v>464732978</v>
      </c>
      <c r="R97" s="29">
        <f>IF(Q97&gt;1,Q97/(M97-N97),0)</f>
        <v>0.98935982083362606</v>
      </c>
      <c r="S97" s="28">
        <v>453548202</v>
      </c>
      <c r="T97" s="31">
        <v>453548202</v>
      </c>
    </row>
    <row r="98" spans="1:22" s="36" customFormat="1" ht="16.5" customHeight="1" x14ac:dyDescent="0.25">
      <c r="A98" s="46" t="s">
        <v>16</v>
      </c>
      <c r="B98" s="7" t="s">
        <v>56</v>
      </c>
      <c r="C98" s="7" t="s">
        <v>21</v>
      </c>
      <c r="D98" s="7"/>
      <c r="E98" s="7"/>
      <c r="F98" s="7"/>
      <c r="G98" s="18" t="s">
        <v>126</v>
      </c>
      <c r="H98" s="7" t="s">
        <v>19</v>
      </c>
      <c r="I98" s="7">
        <v>11</v>
      </c>
      <c r="J98" s="20">
        <f>J99</f>
        <v>0</v>
      </c>
      <c r="K98" s="20">
        <f>K99</f>
        <v>3274050</v>
      </c>
      <c r="L98" s="20"/>
      <c r="M98" s="20">
        <f t="shared" si="24"/>
        <v>3274050</v>
      </c>
      <c r="N98" s="20">
        <f>K98+L98-M98</f>
        <v>0</v>
      </c>
      <c r="O98" s="20">
        <f>O99</f>
        <v>3274050</v>
      </c>
      <c r="P98" s="28">
        <f>(P99)</f>
        <v>0</v>
      </c>
      <c r="Q98" s="20">
        <f>Q99</f>
        <v>3274050</v>
      </c>
      <c r="R98" s="29">
        <f t="shared" si="23"/>
        <v>1</v>
      </c>
      <c r="S98" s="20">
        <f>S99</f>
        <v>3274050</v>
      </c>
      <c r="T98" s="20">
        <f>T99</f>
        <v>3274050</v>
      </c>
    </row>
    <row r="99" spans="1:22" s="36" customFormat="1" ht="16.5" customHeight="1" x14ac:dyDescent="0.25">
      <c r="A99" s="46" t="s">
        <v>16</v>
      </c>
      <c r="B99" s="8" t="s">
        <v>56</v>
      </c>
      <c r="C99" s="17" t="s">
        <v>21</v>
      </c>
      <c r="D99" s="17"/>
      <c r="E99" s="17"/>
      <c r="F99" s="17"/>
      <c r="G99" s="68" t="s">
        <v>126</v>
      </c>
      <c r="H99" s="17" t="s">
        <v>19</v>
      </c>
      <c r="I99" s="17">
        <v>11</v>
      </c>
      <c r="J99" s="28"/>
      <c r="K99" s="28">
        <v>3274050</v>
      </c>
      <c r="L99" s="28"/>
      <c r="M99" s="28">
        <f t="shared" si="24"/>
        <v>3274050</v>
      </c>
      <c r="N99" s="27"/>
      <c r="O99" s="28">
        <v>3274050</v>
      </c>
      <c r="P99" s="28">
        <f>+M99-O99-N99</f>
        <v>0</v>
      </c>
      <c r="Q99" s="28">
        <v>3274050</v>
      </c>
      <c r="R99" s="29">
        <f t="shared" si="23"/>
        <v>1</v>
      </c>
      <c r="S99" s="28">
        <v>3274050</v>
      </c>
      <c r="T99" s="31">
        <v>3274050</v>
      </c>
    </row>
    <row r="100" spans="1:22" s="73" customFormat="1" ht="16.5" customHeight="1" x14ac:dyDescent="0.25">
      <c r="A100" s="69" t="s">
        <v>16</v>
      </c>
      <c r="B100" s="37" t="s">
        <v>56</v>
      </c>
      <c r="C100" s="37"/>
      <c r="D100" s="37"/>
      <c r="E100" s="37"/>
      <c r="F100" s="37"/>
      <c r="G100" s="38" t="s">
        <v>127</v>
      </c>
      <c r="H100" s="37" t="s">
        <v>19</v>
      </c>
      <c r="I100" s="39" t="s">
        <v>21</v>
      </c>
      <c r="J100" s="40">
        <f t="shared" ref="J100:T100" si="27">+J93+J90+J98</f>
        <v>3116000000</v>
      </c>
      <c r="K100" s="40">
        <f t="shared" si="27"/>
        <v>3274050</v>
      </c>
      <c r="L100" s="40">
        <f t="shared" si="27"/>
        <v>0</v>
      </c>
      <c r="M100" s="40">
        <f t="shared" si="27"/>
        <v>3119274050</v>
      </c>
      <c r="N100" s="40">
        <f t="shared" si="27"/>
        <v>0</v>
      </c>
      <c r="O100" s="40">
        <f t="shared" si="27"/>
        <v>3028203753</v>
      </c>
      <c r="P100" s="40">
        <f t="shared" si="27"/>
        <v>91070297</v>
      </c>
      <c r="Q100" s="40">
        <f t="shared" si="27"/>
        <v>3022332613</v>
      </c>
      <c r="R100" s="40">
        <f>IF(Q100&gt;1,Q100/(M100-N100),0)</f>
        <v>0.96892179544147461</v>
      </c>
      <c r="S100" s="40">
        <f t="shared" si="27"/>
        <v>1354904155</v>
      </c>
      <c r="T100" s="40">
        <f t="shared" si="27"/>
        <v>1354904155</v>
      </c>
      <c r="U100" s="72"/>
      <c r="V100" s="72"/>
    </row>
    <row r="101" spans="1:22" s="16" customFormat="1" ht="16.5" customHeight="1" x14ac:dyDescent="0.25">
      <c r="A101" s="129" t="s">
        <v>128</v>
      </c>
      <c r="B101" s="129"/>
      <c r="C101" s="129"/>
      <c r="D101" s="129"/>
      <c r="E101" s="129"/>
      <c r="F101" s="129"/>
      <c r="G101" s="129"/>
      <c r="H101" s="129"/>
      <c r="I101" s="129"/>
      <c r="J101" s="44">
        <f t="shared" ref="J101:Q101" si="28">J100</f>
        <v>3116000000</v>
      </c>
      <c r="K101" s="44">
        <f t="shared" si="28"/>
        <v>3274050</v>
      </c>
      <c r="L101" s="44">
        <f t="shared" si="28"/>
        <v>0</v>
      </c>
      <c r="M101" s="44">
        <f t="shared" si="28"/>
        <v>3119274050</v>
      </c>
      <c r="N101" s="44">
        <f t="shared" si="28"/>
        <v>0</v>
      </c>
      <c r="O101" s="44">
        <f t="shared" si="28"/>
        <v>3028203753</v>
      </c>
      <c r="P101" s="44">
        <f t="shared" si="28"/>
        <v>91070297</v>
      </c>
      <c r="Q101" s="44">
        <f t="shared" si="28"/>
        <v>3022332613</v>
      </c>
      <c r="R101" s="41">
        <f>IF(Q101&gt;1,Q101/(M101-N101),0)</f>
        <v>0.96892179544147461</v>
      </c>
      <c r="S101" s="44">
        <f>S100</f>
        <v>1354904155</v>
      </c>
      <c r="T101" s="45">
        <f>T100</f>
        <v>1354904155</v>
      </c>
    </row>
    <row r="102" spans="1:22" s="36" customFormat="1" ht="16.5" customHeight="1" x14ac:dyDescent="0.25">
      <c r="A102" s="126" t="s">
        <v>129</v>
      </c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</row>
    <row r="103" spans="1:22" s="36" customFormat="1" ht="16.5" customHeight="1" x14ac:dyDescent="0.25">
      <c r="A103" s="46" t="s">
        <v>16</v>
      </c>
      <c r="B103" s="7" t="s">
        <v>130</v>
      </c>
      <c r="C103" s="7"/>
      <c r="D103" s="7"/>
      <c r="E103" s="7"/>
      <c r="F103" s="7"/>
      <c r="G103" s="18" t="s">
        <v>131</v>
      </c>
      <c r="H103" s="7" t="s">
        <v>19</v>
      </c>
      <c r="I103" s="7" t="s">
        <v>21</v>
      </c>
      <c r="J103" s="20">
        <f>J105</f>
        <v>500000000</v>
      </c>
      <c r="K103" s="20">
        <f>K105</f>
        <v>5720692</v>
      </c>
      <c r="L103" s="20">
        <f>L105</f>
        <v>2478346</v>
      </c>
      <c r="M103" s="20">
        <f>M105</f>
        <v>503242346</v>
      </c>
      <c r="N103" s="20">
        <f>N105+N109</f>
        <v>0</v>
      </c>
      <c r="O103" s="20">
        <f>O105</f>
        <v>503242346</v>
      </c>
      <c r="P103" s="20">
        <f>P105</f>
        <v>0</v>
      </c>
      <c r="Q103" s="20">
        <f>Q105</f>
        <v>503242346</v>
      </c>
      <c r="R103" s="33">
        <f>IF(Q103&gt;1,Q103/(M103),0)</f>
        <v>1</v>
      </c>
      <c r="S103" s="20">
        <f>S105</f>
        <v>503242346</v>
      </c>
      <c r="T103" s="23">
        <f>T105</f>
        <v>503242346</v>
      </c>
    </row>
    <row r="104" spans="1:22" s="36" customFormat="1" ht="16.5" customHeight="1" x14ac:dyDescent="0.25">
      <c r="A104" s="46" t="s">
        <v>16</v>
      </c>
      <c r="B104" s="7" t="s">
        <v>130</v>
      </c>
      <c r="C104" s="7"/>
      <c r="D104" s="7"/>
      <c r="E104" s="7"/>
      <c r="F104" s="7"/>
      <c r="G104" s="18" t="s">
        <v>131</v>
      </c>
      <c r="H104" s="7" t="s">
        <v>19</v>
      </c>
      <c r="I104" s="7">
        <v>11</v>
      </c>
      <c r="J104" s="20">
        <f t="shared" ref="J104:Q104" si="29">J108</f>
        <v>906000000</v>
      </c>
      <c r="K104" s="20">
        <f t="shared" si="29"/>
        <v>0</v>
      </c>
      <c r="L104" s="20">
        <f t="shared" si="29"/>
        <v>0</v>
      </c>
      <c r="M104" s="20">
        <f t="shared" si="29"/>
        <v>906000000</v>
      </c>
      <c r="N104" s="20">
        <f t="shared" si="29"/>
        <v>0</v>
      </c>
      <c r="O104" s="20">
        <f t="shared" si="29"/>
        <v>0</v>
      </c>
      <c r="P104" s="20">
        <f t="shared" si="29"/>
        <v>906000000</v>
      </c>
      <c r="Q104" s="20">
        <f t="shared" si="29"/>
        <v>0</v>
      </c>
      <c r="R104" s="33">
        <f>IF(Q104&gt;1,Q104/(M104),0)</f>
        <v>0</v>
      </c>
      <c r="S104" s="20">
        <f>S108</f>
        <v>0</v>
      </c>
      <c r="T104" s="23">
        <f>T108</f>
        <v>0</v>
      </c>
    </row>
    <row r="105" spans="1:22" s="16" customFormat="1" ht="16.5" customHeight="1" x14ac:dyDescent="0.25">
      <c r="A105" s="46" t="s">
        <v>16</v>
      </c>
      <c r="B105" s="7" t="s">
        <v>130</v>
      </c>
      <c r="C105" s="7" t="s">
        <v>17</v>
      </c>
      <c r="D105" s="7"/>
      <c r="E105" s="7"/>
      <c r="F105" s="7"/>
      <c r="G105" s="18" t="s">
        <v>132</v>
      </c>
      <c r="H105" s="7" t="s">
        <v>19</v>
      </c>
      <c r="I105" s="7" t="s">
        <v>21</v>
      </c>
      <c r="J105" s="20">
        <f t="shared" ref="J105:O105" si="30">J106+J107</f>
        <v>500000000</v>
      </c>
      <c r="K105" s="20">
        <f t="shared" si="30"/>
        <v>5720692</v>
      </c>
      <c r="L105" s="20">
        <f t="shared" si="30"/>
        <v>2478346</v>
      </c>
      <c r="M105" s="20">
        <f t="shared" si="30"/>
        <v>503242346</v>
      </c>
      <c r="N105" s="20">
        <f t="shared" si="30"/>
        <v>0</v>
      </c>
      <c r="O105" s="20">
        <f t="shared" si="30"/>
        <v>503242346</v>
      </c>
      <c r="P105" s="20">
        <f>M105-O105-N105</f>
        <v>0</v>
      </c>
      <c r="Q105" s="20">
        <f>Q106+Q107</f>
        <v>503242346</v>
      </c>
      <c r="R105" s="33">
        <f t="shared" ref="R105:R110" si="31">IF(Q105&gt;1,Q105/(M105),0)</f>
        <v>1</v>
      </c>
      <c r="S105" s="20">
        <f>S106+S107</f>
        <v>503242346</v>
      </c>
      <c r="T105" s="23">
        <f>T106+T107</f>
        <v>503242346</v>
      </c>
    </row>
    <row r="106" spans="1:22" s="16" customFormat="1" ht="16.5" customHeight="1" x14ac:dyDescent="0.25">
      <c r="A106" s="46" t="s">
        <v>16</v>
      </c>
      <c r="B106" s="17" t="s">
        <v>130</v>
      </c>
      <c r="C106" s="17" t="s">
        <v>17</v>
      </c>
      <c r="D106" s="17" t="s">
        <v>47</v>
      </c>
      <c r="E106" s="17" t="s">
        <v>22</v>
      </c>
      <c r="F106" s="17"/>
      <c r="G106" s="25" t="s">
        <v>133</v>
      </c>
      <c r="H106" s="17" t="s">
        <v>19</v>
      </c>
      <c r="I106" s="17" t="s">
        <v>21</v>
      </c>
      <c r="J106" s="28">
        <v>490000000</v>
      </c>
      <c r="K106" s="28">
        <v>2478346</v>
      </c>
      <c r="L106" s="28"/>
      <c r="M106" s="28">
        <f>J106+K106-L106</f>
        <v>492478346</v>
      </c>
      <c r="N106" s="27">
        <v>0</v>
      </c>
      <c r="O106" s="28">
        <v>492478346</v>
      </c>
      <c r="P106" s="28">
        <f>+M106-O106-N106</f>
        <v>0</v>
      </c>
      <c r="Q106" s="28">
        <v>492478346</v>
      </c>
      <c r="R106" s="124">
        <f t="shared" si="31"/>
        <v>1</v>
      </c>
      <c r="S106" s="28">
        <v>492478346</v>
      </c>
      <c r="T106" s="31">
        <v>492478346</v>
      </c>
    </row>
    <row r="107" spans="1:22" s="36" customFormat="1" ht="16.5" customHeight="1" x14ac:dyDescent="0.25">
      <c r="A107" s="46" t="s">
        <v>16</v>
      </c>
      <c r="B107" s="17" t="s">
        <v>130</v>
      </c>
      <c r="C107" s="17" t="s">
        <v>17</v>
      </c>
      <c r="D107" s="17" t="s">
        <v>47</v>
      </c>
      <c r="E107" s="17" t="s">
        <v>32</v>
      </c>
      <c r="F107" s="17"/>
      <c r="G107" s="25" t="s">
        <v>134</v>
      </c>
      <c r="H107" s="17" t="s">
        <v>19</v>
      </c>
      <c r="I107" s="17" t="s">
        <v>21</v>
      </c>
      <c r="J107" s="28">
        <v>10000000</v>
      </c>
      <c r="K107" s="28">
        <v>3242346</v>
      </c>
      <c r="L107" s="28">
        <v>2478346</v>
      </c>
      <c r="M107" s="28">
        <f>J107+K107-L107</f>
        <v>10764000</v>
      </c>
      <c r="N107" s="27">
        <v>0</v>
      </c>
      <c r="O107" s="28">
        <v>10764000</v>
      </c>
      <c r="P107" s="28">
        <f>+M107-O107-N107</f>
        <v>0</v>
      </c>
      <c r="Q107" s="28">
        <v>10764000</v>
      </c>
      <c r="R107" s="124">
        <f t="shared" si="31"/>
        <v>1</v>
      </c>
      <c r="S107" s="28">
        <v>10764000</v>
      </c>
      <c r="T107" s="31">
        <v>10764000</v>
      </c>
    </row>
    <row r="108" spans="1:22" s="36" customFormat="1" ht="16.5" customHeight="1" x14ac:dyDescent="0.25">
      <c r="A108" s="46" t="s">
        <v>16</v>
      </c>
      <c r="B108" s="7" t="s">
        <v>130</v>
      </c>
      <c r="C108" s="7" t="s">
        <v>119</v>
      </c>
      <c r="D108" s="7"/>
      <c r="E108" s="7"/>
      <c r="F108" s="7"/>
      <c r="G108" s="18" t="s">
        <v>135</v>
      </c>
      <c r="H108" s="7" t="s">
        <v>19</v>
      </c>
      <c r="I108" s="7">
        <v>11</v>
      </c>
      <c r="J108" s="20">
        <f>J109</f>
        <v>906000000</v>
      </c>
      <c r="K108" s="20"/>
      <c r="L108" s="20"/>
      <c r="M108" s="20">
        <f t="shared" ref="M108:O109" si="32">M109</f>
        <v>906000000</v>
      </c>
      <c r="N108" s="22">
        <f t="shared" si="32"/>
        <v>0</v>
      </c>
      <c r="O108" s="20">
        <f t="shared" si="32"/>
        <v>0</v>
      </c>
      <c r="P108" s="20">
        <f>+M108-O108-N108</f>
        <v>906000000</v>
      </c>
      <c r="Q108" s="20">
        <f>Q109</f>
        <v>0</v>
      </c>
      <c r="R108" s="33">
        <f t="shared" si="31"/>
        <v>0</v>
      </c>
      <c r="S108" s="20">
        <f>S109</f>
        <v>0</v>
      </c>
      <c r="T108" s="23">
        <f>T109</f>
        <v>0</v>
      </c>
    </row>
    <row r="109" spans="1:22" s="16" customFormat="1" ht="16.5" customHeight="1" x14ac:dyDescent="0.25">
      <c r="A109" s="46" t="s">
        <v>16</v>
      </c>
      <c r="B109" s="7" t="s">
        <v>130</v>
      </c>
      <c r="C109" s="7" t="s">
        <v>119</v>
      </c>
      <c r="D109" s="8" t="s">
        <v>17</v>
      </c>
      <c r="E109" s="7"/>
      <c r="F109" s="7"/>
      <c r="G109" s="18" t="s">
        <v>136</v>
      </c>
      <c r="H109" s="7" t="s">
        <v>19</v>
      </c>
      <c r="I109" s="7">
        <v>11</v>
      </c>
      <c r="J109" s="20">
        <f>J110</f>
        <v>906000000</v>
      </c>
      <c r="K109" s="20">
        <f>K110</f>
        <v>0</v>
      </c>
      <c r="L109" s="20">
        <f>L110</f>
        <v>0</v>
      </c>
      <c r="M109" s="20">
        <f t="shared" si="32"/>
        <v>906000000</v>
      </c>
      <c r="N109" s="22">
        <f t="shared" si="32"/>
        <v>0</v>
      </c>
      <c r="O109" s="20">
        <f t="shared" si="32"/>
        <v>0</v>
      </c>
      <c r="P109" s="20">
        <f>+M109-O109-N109</f>
        <v>906000000</v>
      </c>
      <c r="Q109" s="20">
        <f>Q110</f>
        <v>0</v>
      </c>
      <c r="R109" s="33">
        <f t="shared" si="31"/>
        <v>0</v>
      </c>
      <c r="S109" s="20">
        <f>S110</f>
        <v>0</v>
      </c>
      <c r="T109" s="23">
        <f>T110</f>
        <v>0</v>
      </c>
    </row>
    <row r="110" spans="1:22" ht="18" customHeight="1" x14ac:dyDescent="0.25">
      <c r="A110" s="49" t="s">
        <v>16</v>
      </c>
      <c r="B110" s="17" t="s">
        <v>130</v>
      </c>
      <c r="C110" s="17" t="s">
        <v>119</v>
      </c>
      <c r="D110" s="17" t="s">
        <v>17</v>
      </c>
      <c r="E110" s="17"/>
      <c r="F110" s="17"/>
      <c r="G110" s="25" t="s">
        <v>136</v>
      </c>
      <c r="H110" s="17" t="s">
        <v>19</v>
      </c>
      <c r="I110" s="17">
        <v>11</v>
      </c>
      <c r="J110" s="28">
        <v>906000000</v>
      </c>
      <c r="K110" s="28">
        <v>0</v>
      </c>
      <c r="L110" s="28">
        <v>0</v>
      </c>
      <c r="M110" s="28">
        <f>J110+K110-L110</f>
        <v>906000000</v>
      </c>
      <c r="N110" s="27">
        <v>0</v>
      </c>
      <c r="O110" s="28"/>
      <c r="P110" s="28">
        <f>+M110-O110-N110</f>
        <v>906000000</v>
      </c>
      <c r="Q110" s="28"/>
      <c r="R110" s="124">
        <f t="shared" si="31"/>
        <v>0</v>
      </c>
      <c r="S110" s="28"/>
      <c r="T110" s="31"/>
    </row>
    <row r="111" spans="1:22" ht="26.25" customHeight="1" x14ac:dyDescent="0.25">
      <c r="A111" s="69" t="s">
        <v>16</v>
      </c>
      <c r="B111" s="37" t="s">
        <v>130</v>
      </c>
      <c r="C111" s="37"/>
      <c r="D111" s="37"/>
      <c r="E111" s="37"/>
      <c r="F111" s="37"/>
      <c r="G111" s="38" t="s">
        <v>137</v>
      </c>
      <c r="H111" s="37" t="s">
        <v>19</v>
      </c>
      <c r="I111" s="39" t="s">
        <v>21</v>
      </c>
      <c r="J111" s="40">
        <f t="shared" ref="J111:M112" si="33">J103</f>
        <v>500000000</v>
      </c>
      <c r="K111" s="40">
        <f t="shared" si="33"/>
        <v>5720692</v>
      </c>
      <c r="L111" s="40">
        <f t="shared" si="33"/>
        <v>2478346</v>
      </c>
      <c r="M111" s="40">
        <f t="shared" si="33"/>
        <v>503242346</v>
      </c>
      <c r="N111" s="40">
        <f>N105</f>
        <v>0</v>
      </c>
      <c r="O111" s="40">
        <f>O105</f>
        <v>503242346</v>
      </c>
      <c r="P111" s="40">
        <f>P105</f>
        <v>0</v>
      </c>
      <c r="Q111" s="40">
        <f>Q105</f>
        <v>503242346</v>
      </c>
      <c r="R111" s="41">
        <f>IF(Q111&gt;1,Q111/(M111),0)</f>
        <v>1</v>
      </c>
      <c r="S111" s="40">
        <f>S105</f>
        <v>503242346</v>
      </c>
      <c r="T111" s="42">
        <f>T105</f>
        <v>503242346</v>
      </c>
    </row>
    <row r="112" spans="1:22" ht="26.25" customHeight="1" x14ac:dyDescent="0.25">
      <c r="A112" s="69" t="s">
        <v>16</v>
      </c>
      <c r="B112" s="37" t="s">
        <v>130</v>
      </c>
      <c r="C112" s="37"/>
      <c r="D112" s="37"/>
      <c r="E112" s="37"/>
      <c r="F112" s="37"/>
      <c r="G112" s="38" t="s">
        <v>137</v>
      </c>
      <c r="H112" s="37" t="s">
        <v>19</v>
      </c>
      <c r="I112" s="39">
        <v>11</v>
      </c>
      <c r="J112" s="40">
        <f t="shared" si="33"/>
        <v>906000000</v>
      </c>
      <c r="K112" s="40">
        <f t="shared" si="33"/>
        <v>0</v>
      </c>
      <c r="L112" s="40">
        <f t="shared" si="33"/>
        <v>0</v>
      </c>
      <c r="M112" s="40">
        <f t="shared" si="33"/>
        <v>906000000</v>
      </c>
      <c r="N112" s="40">
        <f>N109</f>
        <v>0</v>
      </c>
      <c r="O112" s="40">
        <f>O104</f>
        <v>0</v>
      </c>
      <c r="P112" s="40">
        <f>P104</f>
        <v>906000000</v>
      </c>
      <c r="Q112" s="40">
        <f>Q104</f>
        <v>0</v>
      </c>
      <c r="R112" s="41">
        <f>IF(Q112&gt;1,Q112/(M112),0)</f>
        <v>0</v>
      </c>
      <c r="S112" s="40">
        <f>S104</f>
        <v>0</v>
      </c>
      <c r="T112" s="42">
        <f>T104</f>
        <v>0</v>
      </c>
    </row>
    <row r="113" spans="1:20" ht="16.5" customHeight="1" x14ac:dyDescent="0.25">
      <c r="A113" s="129" t="s">
        <v>138</v>
      </c>
      <c r="B113" s="129"/>
      <c r="C113" s="129"/>
      <c r="D113" s="129"/>
      <c r="E113" s="129"/>
      <c r="F113" s="129"/>
      <c r="G113" s="129"/>
      <c r="H113" s="129"/>
      <c r="I113" s="129"/>
      <c r="J113" s="44">
        <f>J111+J112</f>
        <v>1406000000</v>
      </c>
      <c r="K113" s="44">
        <f>K111+K112</f>
        <v>5720692</v>
      </c>
      <c r="L113" s="44">
        <f>L111+L112</f>
        <v>2478346</v>
      </c>
      <c r="M113" s="44">
        <f>M111+M112</f>
        <v>1409242346</v>
      </c>
      <c r="N113" s="44"/>
      <c r="O113" s="44">
        <f>O111+O112</f>
        <v>503242346</v>
      </c>
      <c r="P113" s="44">
        <f>P111+P112</f>
        <v>906000000</v>
      </c>
      <c r="Q113" s="44">
        <f>Q111+Q112</f>
        <v>503242346</v>
      </c>
      <c r="R113" s="41">
        <f>IF(Q113&gt;1,Q113/(M113),0)</f>
        <v>0.35710135125332093</v>
      </c>
      <c r="S113" s="44">
        <f>S111+S112</f>
        <v>503242346</v>
      </c>
      <c r="T113" s="45">
        <f>T111+T112</f>
        <v>503242346</v>
      </c>
    </row>
    <row r="114" spans="1:20" ht="16.5" customHeight="1" x14ac:dyDescent="0.25">
      <c r="A114" s="74" t="s">
        <v>16</v>
      </c>
      <c r="B114" s="75"/>
      <c r="C114" s="75"/>
      <c r="D114" s="75"/>
      <c r="E114" s="75"/>
      <c r="F114" s="75"/>
      <c r="G114" s="76" t="s">
        <v>139</v>
      </c>
      <c r="H114" s="75" t="s">
        <v>19</v>
      </c>
      <c r="I114" s="77">
        <v>10</v>
      </c>
      <c r="J114" s="78">
        <f>+J111+J86+J33+J100</f>
        <v>407772915847</v>
      </c>
      <c r="K114" s="78">
        <f>+K111+K86+K33+K100</f>
        <v>6976962042.6300001</v>
      </c>
      <c r="L114" s="78">
        <f>+L111+L86+L33+L100</f>
        <v>6976962042.6300001</v>
      </c>
      <c r="M114" s="78">
        <f>+M111+M86+M33+M100</f>
        <v>407772915847</v>
      </c>
      <c r="N114" s="78">
        <v>0</v>
      </c>
      <c r="O114" s="78">
        <f>+O111+O86+O33+O100</f>
        <v>268787572692.86002</v>
      </c>
      <c r="P114" s="78">
        <f>+P111+P86+P33+P100</f>
        <v>138985343154.14001</v>
      </c>
      <c r="Q114" s="78">
        <f>+Q111+Q86+Q33+Q100</f>
        <v>259279760962.42999</v>
      </c>
      <c r="R114" s="79">
        <f>IF(Q114&gt;1,Q114/(M114),0)</f>
        <v>0.63584350722232386</v>
      </c>
      <c r="S114" s="78">
        <f>+S111+S86+S33+S100</f>
        <v>240500479230.67999</v>
      </c>
      <c r="T114" s="80">
        <f>+T111+T86+T33+T100</f>
        <v>239630630028.76999</v>
      </c>
    </row>
    <row r="115" spans="1:20" ht="16.5" customHeight="1" x14ac:dyDescent="0.25">
      <c r="A115" s="74" t="s">
        <v>16</v>
      </c>
      <c r="B115" s="75"/>
      <c r="C115" s="75"/>
      <c r="D115" s="75"/>
      <c r="E115" s="75"/>
      <c r="F115" s="75"/>
      <c r="G115" s="76" t="s">
        <v>139</v>
      </c>
      <c r="H115" s="75" t="s">
        <v>19</v>
      </c>
      <c r="I115" s="77">
        <v>11</v>
      </c>
      <c r="J115" s="78">
        <f t="shared" ref="J115:Q115" si="34">J112</f>
        <v>906000000</v>
      </c>
      <c r="K115" s="78">
        <f t="shared" si="34"/>
        <v>0</v>
      </c>
      <c r="L115" s="78">
        <f t="shared" si="34"/>
        <v>0</v>
      </c>
      <c r="M115" s="78">
        <f t="shared" si="34"/>
        <v>906000000</v>
      </c>
      <c r="N115" s="78">
        <f t="shared" si="34"/>
        <v>0</v>
      </c>
      <c r="O115" s="78">
        <f t="shared" si="34"/>
        <v>0</v>
      </c>
      <c r="P115" s="78">
        <f t="shared" si="34"/>
        <v>906000000</v>
      </c>
      <c r="Q115" s="78">
        <f t="shared" si="34"/>
        <v>0</v>
      </c>
      <c r="R115" s="79">
        <f t="shared" ref="R115:R117" si="35">IF(Q115&gt;1,Q115/(M115-N115),0)</f>
        <v>0</v>
      </c>
      <c r="S115" s="78">
        <f>S112</f>
        <v>0</v>
      </c>
      <c r="T115" s="80">
        <f>T112</f>
        <v>0</v>
      </c>
    </row>
    <row r="116" spans="1:20" ht="16.5" customHeight="1" x14ac:dyDescent="0.25">
      <c r="A116" s="74" t="s">
        <v>16</v>
      </c>
      <c r="B116" s="75"/>
      <c r="C116" s="75"/>
      <c r="D116" s="75"/>
      <c r="E116" s="75"/>
      <c r="F116" s="75"/>
      <c r="G116" s="76" t="s">
        <v>139</v>
      </c>
      <c r="H116" s="75" t="s">
        <v>79</v>
      </c>
      <c r="I116" s="77">
        <v>20</v>
      </c>
      <c r="J116" s="78">
        <f>J87</f>
        <v>2873920000</v>
      </c>
      <c r="K116" s="78">
        <f>K87</f>
        <v>0</v>
      </c>
      <c r="L116" s="78">
        <f>L87</f>
        <v>0</v>
      </c>
      <c r="M116" s="78">
        <f>M87</f>
        <v>2873920000</v>
      </c>
      <c r="N116" s="81"/>
      <c r="O116" s="78">
        <f>O87</f>
        <v>264948680</v>
      </c>
      <c r="P116" s="78">
        <f>P87</f>
        <v>2608971320</v>
      </c>
      <c r="Q116" s="78">
        <f>Q87</f>
        <v>264948680</v>
      </c>
      <c r="R116" s="79">
        <f t="shared" si="35"/>
        <v>9.2190694243402746E-2</v>
      </c>
      <c r="S116" s="78">
        <f>S87</f>
        <v>174288640</v>
      </c>
      <c r="T116" s="80">
        <f>T87</f>
        <v>174288640</v>
      </c>
    </row>
    <row r="117" spans="1:20" ht="15.75" customHeight="1" x14ac:dyDescent="0.25">
      <c r="A117" s="130" t="s">
        <v>140</v>
      </c>
      <c r="B117" s="130"/>
      <c r="C117" s="130"/>
      <c r="D117" s="130"/>
      <c r="E117" s="130"/>
      <c r="F117" s="130"/>
      <c r="G117" s="130"/>
      <c r="H117" s="130"/>
      <c r="I117" s="130"/>
      <c r="J117" s="82">
        <f>SUM(J114:J116)</f>
        <v>411552835847</v>
      </c>
      <c r="K117" s="82">
        <f>SUM(K114:K116)</f>
        <v>6976962042.6300001</v>
      </c>
      <c r="L117" s="82">
        <f>SUM(L114:L116)</f>
        <v>6976962042.6300001</v>
      </c>
      <c r="M117" s="82">
        <f>SUM(M114:M116)</f>
        <v>411552835847</v>
      </c>
      <c r="N117" s="82">
        <v>0</v>
      </c>
      <c r="O117" s="82">
        <f>SUM(O114:O116)</f>
        <v>269052521372.86002</v>
      </c>
      <c r="P117" s="82">
        <f>SUM(P114:P116)</f>
        <v>142500314474.14001</v>
      </c>
      <c r="Q117" s="82">
        <f>SUM(Q114:Q116)</f>
        <v>259544709642.42999</v>
      </c>
      <c r="R117" s="125">
        <f t="shared" si="35"/>
        <v>0.63064736052242643</v>
      </c>
      <c r="S117" s="82">
        <f>SUM(S114:S116)</f>
        <v>240674767870.67999</v>
      </c>
      <c r="T117" s="83">
        <f>SUM(T114:T116)</f>
        <v>239804918668.76999</v>
      </c>
    </row>
    <row r="118" spans="1:20" s="16" customFormat="1" ht="18.75" customHeight="1" x14ac:dyDescent="0.25">
      <c r="A118" s="126" t="s">
        <v>141</v>
      </c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</row>
    <row r="119" spans="1:20" s="16" customFormat="1" ht="24.75" customHeight="1" x14ac:dyDescent="0.25">
      <c r="A119" s="46" t="s">
        <v>142</v>
      </c>
      <c r="B119" s="7">
        <v>2901</v>
      </c>
      <c r="C119" s="7"/>
      <c r="D119" s="7"/>
      <c r="E119" s="7"/>
      <c r="F119" s="7"/>
      <c r="G119" s="18" t="s">
        <v>143</v>
      </c>
      <c r="H119" s="7" t="s">
        <v>19</v>
      </c>
      <c r="I119" s="19">
        <v>10</v>
      </c>
      <c r="J119" s="20">
        <f t="shared" ref="J119:Q119" si="36">J121+J123+J127+J129+J138+J142+J133</f>
        <v>56704864098</v>
      </c>
      <c r="K119" s="20">
        <f t="shared" si="36"/>
        <v>3159178868</v>
      </c>
      <c r="L119" s="20">
        <f t="shared" si="36"/>
        <v>3159178868</v>
      </c>
      <c r="M119" s="20">
        <f t="shared" si="36"/>
        <v>56704864098</v>
      </c>
      <c r="N119" s="22">
        <f t="shared" si="36"/>
        <v>2265285132.4099998</v>
      </c>
      <c r="O119" s="84">
        <f t="shared" si="36"/>
        <v>50827889254.210007</v>
      </c>
      <c r="P119" s="20">
        <f t="shared" si="36"/>
        <v>3611689711.3800011</v>
      </c>
      <c r="Q119" s="22">
        <f t="shared" si="36"/>
        <v>32544531642.139999</v>
      </c>
      <c r="R119" s="33">
        <f t="shared" ref="R119:R124" si="37">IF(Q119&gt;1,Q119/(M119),0)</f>
        <v>0.57392839502965776</v>
      </c>
      <c r="S119" s="22">
        <f>S121+S123+S127+S129+S138+S142+S133</f>
        <v>3488563715.3599997</v>
      </c>
      <c r="T119" s="34">
        <f>T121+T123+T127+T129+T138+T142+T133</f>
        <v>3486857375.3599997</v>
      </c>
    </row>
    <row r="120" spans="1:20" ht="33" customHeight="1" x14ac:dyDescent="0.25">
      <c r="A120" s="46" t="s">
        <v>142</v>
      </c>
      <c r="B120" s="7">
        <v>2901</v>
      </c>
      <c r="C120" s="7"/>
      <c r="D120" s="7"/>
      <c r="E120" s="7"/>
      <c r="F120" s="7"/>
      <c r="G120" s="18" t="s">
        <v>143</v>
      </c>
      <c r="H120" s="7" t="s">
        <v>79</v>
      </c>
      <c r="I120" s="19">
        <v>21</v>
      </c>
      <c r="J120" s="22">
        <f t="shared" ref="J120:Q120" si="38">J134</f>
        <v>315108465</v>
      </c>
      <c r="K120" s="22">
        <f t="shared" si="38"/>
        <v>0</v>
      </c>
      <c r="L120" s="20">
        <f t="shared" si="38"/>
        <v>0</v>
      </c>
      <c r="M120" s="20">
        <f t="shared" si="38"/>
        <v>315108465</v>
      </c>
      <c r="N120" s="22">
        <f t="shared" si="38"/>
        <v>0</v>
      </c>
      <c r="O120" s="22">
        <f t="shared" si="38"/>
        <v>315108465</v>
      </c>
      <c r="P120" s="20">
        <f t="shared" si="38"/>
        <v>0</v>
      </c>
      <c r="Q120" s="22">
        <f t="shared" si="38"/>
        <v>315108465</v>
      </c>
      <c r="R120" s="33">
        <f t="shared" si="37"/>
        <v>1</v>
      </c>
      <c r="S120" s="22">
        <f>S134</f>
        <v>0</v>
      </c>
      <c r="T120" s="34">
        <f>T134</f>
        <v>0</v>
      </c>
    </row>
    <row r="121" spans="1:20" ht="33" customHeight="1" x14ac:dyDescent="0.25">
      <c r="A121" s="85" t="s">
        <v>142</v>
      </c>
      <c r="B121" s="86" t="s">
        <v>144</v>
      </c>
      <c r="C121" s="86" t="s">
        <v>145</v>
      </c>
      <c r="D121" s="86" t="s">
        <v>146</v>
      </c>
      <c r="E121" s="7"/>
      <c r="F121" s="7"/>
      <c r="G121" s="18" t="s">
        <v>147</v>
      </c>
      <c r="H121" s="86" t="s">
        <v>19</v>
      </c>
      <c r="I121" s="87">
        <v>10</v>
      </c>
      <c r="J121" s="22">
        <f t="shared" ref="J121:Q121" si="39">J122</f>
        <v>16539224320</v>
      </c>
      <c r="K121" s="22">
        <f t="shared" si="39"/>
        <v>0</v>
      </c>
      <c r="L121" s="20">
        <f t="shared" si="39"/>
        <v>0</v>
      </c>
      <c r="M121" s="20">
        <f t="shared" si="39"/>
        <v>16539224320</v>
      </c>
      <c r="N121" s="22">
        <f t="shared" si="39"/>
        <v>0</v>
      </c>
      <c r="O121" s="22">
        <f t="shared" si="39"/>
        <v>14413926419.809999</v>
      </c>
      <c r="P121" s="20">
        <f t="shared" si="39"/>
        <v>2125297900.1900005</v>
      </c>
      <c r="Q121" s="22">
        <f t="shared" si="39"/>
        <v>6601460800.8100004</v>
      </c>
      <c r="R121" s="33">
        <f t="shared" si="37"/>
        <v>0.39913968594205512</v>
      </c>
      <c r="S121" s="22">
        <f>S122</f>
        <v>383026746.07999998</v>
      </c>
      <c r="T121" s="34">
        <f>T122</f>
        <v>381320406.07999998</v>
      </c>
    </row>
    <row r="122" spans="1:20" ht="50.25" customHeight="1" x14ac:dyDescent="0.25">
      <c r="A122" s="88" t="s">
        <v>142</v>
      </c>
      <c r="B122" s="89" t="s">
        <v>144</v>
      </c>
      <c r="C122" s="89" t="s">
        <v>145</v>
      </c>
      <c r="D122" s="89" t="s">
        <v>146</v>
      </c>
      <c r="E122" s="89" t="s">
        <v>148</v>
      </c>
      <c r="F122" s="89" t="s">
        <v>149</v>
      </c>
      <c r="G122" s="25" t="s">
        <v>150</v>
      </c>
      <c r="H122" s="89" t="s">
        <v>19</v>
      </c>
      <c r="I122" s="90">
        <v>10</v>
      </c>
      <c r="J122" s="50">
        <v>16539224320</v>
      </c>
      <c r="K122" s="50">
        <v>0</v>
      </c>
      <c r="L122" s="50"/>
      <c r="M122" s="50">
        <f>J122+K122-L122</f>
        <v>16539224320</v>
      </c>
      <c r="N122" s="50">
        <v>0</v>
      </c>
      <c r="O122" s="50">
        <v>14413926419.809999</v>
      </c>
      <c r="P122" s="50">
        <f>+M122-O122-N122</f>
        <v>2125297900.1900005</v>
      </c>
      <c r="Q122" s="91">
        <v>6601460800.8100004</v>
      </c>
      <c r="R122" s="29">
        <f t="shared" si="37"/>
        <v>0.39913968594205512</v>
      </c>
      <c r="S122" s="91">
        <v>383026746.07999998</v>
      </c>
      <c r="T122" s="92">
        <v>381320406.07999998</v>
      </c>
    </row>
    <row r="123" spans="1:20" s="95" customFormat="1" ht="51.75" customHeight="1" x14ac:dyDescent="0.25">
      <c r="A123" s="85" t="s">
        <v>142</v>
      </c>
      <c r="B123" s="86" t="s">
        <v>144</v>
      </c>
      <c r="C123" s="86" t="s">
        <v>145</v>
      </c>
      <c r="D123" s="86" t="s">
        <v>151</v>
      </c>
      <c r="E123" s="86"/>
      <c r="F123" s="86"/>
      <c r="G123" s="18" t="s">
        <v>152</v>
      </c>
      <c r="H123" s="86" t="s">
        <v>19</v>
      </c>
      <c r="I123" s="87">
        <v>10</v>
      </c>
      <c r="J123" s="93">
        <f t="shared" ref="J123:Q123" si="40">J124+J125+J126</f>
        <v>4997000000</v>
      </c>
      <c r="K123" s="47">
        <f t="shared" si="40"/>
        <v>3159178868</v>
      </c>
      <c r="L123" s="47">
        <f t="shared" si="40"/>
        <v>3159178868</v>
      </c>
      <c r="M123" s="47">
        <f t="shared" si="40"/>
        <v>4997000000</v>
      </c>
      <c r="N123" s="47">
        <f t="shared" si="40"/>
        <v>0</v>
      </c>
      <c r="O123" s="47">
        <f t="shared" si="40"/>
        <v>3996117844.79</v>
      </c>
      <c r="P123" s="47">
        <f t="shared" si="40"/>
        <v>1000882155.21</v>
      </c>
      <c r="Q123" s="47">
        <f t="shared" si="40"/>
        <v>3165470392.79</v>
      </c>
      <c r="R123" s="33">
        <f t="shared" si="37"/>
        <v>0.63347416305583348</v>
      </c>
      <c r="S123" s="93">
        <f>S124+S125+S126</f>
        <v>802952577</v>
      </c>
      <c r="T123" s="94">
        <f>T124+T125+T126</f>
        <v>802952577</v>
      </c>
    </row>
    <row r="124" spans="1:20" ht="65.25" customHeight="1" x14ac:dyDescent="0.25">
      <c r="A124" s="88" t="s">
        <v>142</v>
      </c>
      <c r="B124" s="89" t="s">
        <v>144</v>
      </c>
      <c r="C124" s="89" t="s">
        <v>145</v>
      </c>
      <c r="D124" s="89" t="s">
        <v>151</v>
      </c>
      <c r="E124" s="89" t="s">
        <v>153</v>
      </c>
      <c r="F124" s="89" t="s">
        <v>154</v>
      </c>
      <c r="G124" s="25" t="s">
        <v>155</v>
      </c>
      <c r="H124" s="89" t="s">
        <v>19</v>
      </c>
      <c r="I124" s="90">
        <v>10</v>
      </c>
      <c r="J124" s="50">
        <v>2492886732</v>
      </c>
      <c r="K124" s="50">
        <v>91217000</v>
      </c>
      <c r="L124" s="50">
        <v>2456245932</v>
      </c>
      <c r="M124" s="50">
        <f>J124+K124-L124</f>
        <v>127857800</v>
      </c>
      <c r="N124" s="50">
        <v>0</v>
      </c>
      <c r="O124" s="50">
        <v>36640800</v>
      </c>
      <c r="P124" s="50">
        <f>+M124-O124-N124</f>
        <v>91217000</v>
      </c>
      <c r="Q124" s="91">
        <v>36640800</v>
      </c>
      <c r="R124" s="29">
        <f t="shared" si="37"/>
        <v>0.28657461648800464</v>
      </c>
      <c r="S124" s="91">
        <v>0</v>
      </c>
      <c r="T124" s="92">
        <v>0</v>
      </c>
    </row>
    <row r="125" spans="1:20" ht="76.5" customHeight="1" x14ac:dyDescent="0.25">
      <c r="A125" s="88" t="s">
        <v>142</v>
      </c>
      <c r="B125" s="89" t="s">
        <v>144</v>
      </c>
      <c r="C125" s="89" t="s">
        <v>145</v>
      </c>
      <c r="D125" s="89" t="s">
        <v>151</v>
      </c>
      <c r="E125" s="89" t="s">
        <v>153</v>
      </c>
      <c r="F125" s="89" t="s">
        <v>156</v>
      </c>
      <c r="G125" s="25" t="s">
        <v>157</v>
      </c>
      <c r="H125" s="89" t="s">
        <v>19</v>
      </c>
      <c r="I125" s="90">
        <v>10</v>
      </c>
      <c r="J125" s="50">
        <v>2430160128</v>
      </c>
      <c r="K125" s="50"/>
      <c r="L125" s="50">
        <v>611715936</v>
      </c>
      <c r="M125" s="50">
        <f>J125+K125-L125</f>
        <v>1818444192</v>
      </c>
      <c r="N125" s="50">
        <v>0</v>
      </c>
      <c r="O125" s="50">
        <v>1658760868</v>
      </c>
      <c r="P125" s="50">
        <f>+M125-O125-N125</f>
        <v>159683324</v>
      </c>
      <c r="Q125" s="91">
        <v>1571238148</v>
      </c>
      <c r="R125" s="29">
        <f t="shared" ref="R125:R165" si="41">IF(Q125&gt;1,Q125/(M125),0)</f>
        <v>0.86405629323817046</v>
      </c>
      <c r="S125" s="91">
        <v>795272577</v>
      </c>
      <c r="T125" s="92">
        <v>795272577</v>
      </c>
    </row>
    <row r="126" spans="1:20" ht="63.75" customHeight="1" x14ac:dyDescent="0.25">
      <c r="A126" s="88" t="s">
        <v>142</v>
      </c>
      <c r="B126" s="89" t="s">
        <v>144</v>
      </c>
      <c r="C126" s="89" t="s">
        <v>145</v>
      </c>
      <c r="D126" s="89" t="s">
        <v>151</v>
      </c>
      <c r="E126" s="89" t="s">
        <v>153</v>
      </c>
      <c r="F126" s="89" t="s">
        <v>158</v>
      </c>
      <c r="G126" s="25" t="s">
        <v>159</v>
      </c>
      <c r="H126" s="89" t="s">
        <v>19</v>
      </c>
      <c r="I126" s="90">
        <v>10</v>
      </c>
      <c r="J126" s="50">
        <v>73953140</v>
      </c>
      <c r="K126" s="50">
        <v>3067961868</v>
      </c>
      <c r="L126" s="50">
        <v>91217000</v>
      </c>
      <c r="M126" s="50">
        <f>J126+K126-L126</f>
        <v>3050698008</v>
      </c>
      <c r="N126" s="50">
        <v>0</v>
      </c>
      <c r="O126" s="50">
        <v>2300716176.79</v>
      </c>
      <c r="P126" s="50">
        <f>+M126-O126-N126</f>
        <v>749981831.21000004</v>
      </c>
      <c r="Q126" s="91">
        <v>1557591444.79</v>
      </c>
      <c r="R126" s="29">
        <f t="shared" si="41"/>
        <v>0.51056887332192469</v>
      </c>
      <c r="S126" s="91">
        <v>7680000</v>
      </c>
      <c r="T126" s="92">
        <v>7680000</v>
      </c>
    </row>
    <row r="127" spans="1:20" ht="49.5" customHeight="1" x14ac:dyDescent="0.25">
      <c r="A127" s="85" t="s">
        <v>142</v>
      </c>
      <c r="B127" s="86" t="s">
        <v>144</v>
      </c>
      <c r="C127" s="86" t="s">
        <v>145</v>
      </c>
      <c r="D127" s="86" t="s">
        <v>160</v>
      </c>
      <c r="E127" s="86"/>
      <c r="F127" s="86"/>
      <c r="G127" s="18" t="s">
        <v>161</v>
      </c>
      <c r="H127" s="86" t="s">
        <v>19</v>
      </c>
      <c r="I127" s="87">
        <v>10</v>
      </c>
      <c r="J127" s="47">
        <f t="shared" ref="J127:Q127" si="42">J128</f>
        <v>5373953280</v>
      </c>
      <c r="K127" s="47">
        <f t="shared" si="42"/>
        <v>0</v>
      </c>
      <c r="L127" s="47">
        <f t="shared" si="42"/>
        <v>0</v>
      </c>
      <c r="M127" s="47">
        <f t="shared" si="42"/>
        <v>5373953280</v>
      </c>
      <c r="N127" s="47">
        <f t="shared" si="42"/>
        <v>0</v>
      </c>
      <c r="O127" s="47">
        <f t="shared" si="42"/>
        <v>5362600272</v>
      </c>
      <c r="P127" s="47">
        <f t="shared" si="42"/>
        <v>11353008</v>
      </c>
      <c r="Q127" s="47">
        <f t="shared" si="42"/>
        <v>5218563432</v>
      </c>
      <c r="R127" s="29">
        <f t="shared" si="41"/>
        <v>0.97108462989838273</v>
      </c>
      <c r="S127" s="93">
        <f>S128</f>
        <v>584656778</v>
      </c>
      <c r="T127" s="94">
        <f>T128</f>
        <v>584656778</v>
      </c>
    </row>
    <row r="128" spans="1:20" ht="33.75" customHeight="1" x14ac:dyDescent="0.25">
      <c r="A128" s="88" t="s">
        <v>142</v>
      </c>
      <c r="B128" s="89" t="s">
        <v>144</v>
      </c>
      <c r="C128" s="89" t="s">
        <v>145</v>
      </c>
      <c r="D128" s="89" t="s">
        <v>160</v>
      </c>
      <c r="E128" s="89" t="s">
        <v>148</v>
      </c>
      <c r="F128" s="89" t="s">
        <v>162</v>
      </c>
      <c r="G128" s="25" t="s">
        <v>163</v>
      </c>
      <c r="H128" s="89" t="s">
        <v>19</v>
      </c>
      <c r="I128" s="90">
        <v>10</v>
      </c>
      <c r="J128" s="91">
        <v>5373953280</v>
      </c>
      <c r="K128" s="91">
        <v>0</v>
      </c>
      <c r="L128" s="50">
        <v>0</v>
      </c>
      <c r="M128" s="50">
        <f>J128+K128-L128</f>
        <v>5373953280</v>
      </c>
      <c r="N128" s="50">
        <v>0</v>
      </c>
      <c r="O128" s="50">
        <v>5362600272</v>
      </c>
      <c r="P128" s="50">
        <f>+M128-O128-N128</f>
        <v>11353008</v>
      </c>
      <c r="Q128" s="91">
        <v>5218563432</v>
      </c>
      <c r="R128" s="29">
        <f t="shared" si="41"/>
        <v>0.97108462989838273</v>
      </c>
      <c r="S128" s="91">
        <v>584656778</v>
      </c>
      <c r="T128" s="92">
        <v>584656778</v>
      </c>
    </row>
    <row r="129" spans="1:20" ht="51.75" customHeight="1" x14ac:dyDescent="0.25">
      <c r="A129" s="85" t="s">
        <v>142</v>
      </c>
      <c r="B129" s="86" t="s">
        <v>144</v>
      </c>
      <c r="C129" s="86" t="s">
        <v>145</v>
      </c>
      <c r="D129" s="86" t="s">
        <v>164</v>
      </c>
      <c r="E129" s="86"/>
      <c r="F129" s="86"/>
      <c r="G129" s="18" t="s">
        <v>165</v>
      </c>
      <c r="H129" s="86" t="s">
        <v>19</v>
      </c>
      <c r="I129" s="87">
        <v>10</v>
      </c>
      <c r="J129" s="93">
        <f t="shared" ref="J129:Q129" si="43">J130+J131+J132</f>
        <v>4768000000</v>
      </c>
      <c r="K129" s="93">
        <f t="shared" si="43"/>
        <v>0</v>
      </c>
      <c r="L129" s="47">
        <f t="shared" si="43"/>
        <v>0</v>
      </c>
      <c r="M129" s="47">
        <f t="shared" si="43"/>
        <v>4768000000</v>
      </c>
      <c r="N129" s="47">
        <f t="shared" si="43"/>
        <v>0</v>
      </c>
      <c r="O129" s="47">
        <f t="shared" si="43"/>
        <v>4768000000</v>
      </c>
      <c r="P129" s="47">
        <f t="shared" si="43"/>
        <v>0</v>
      </c>
      <c r="Q129" s="93">
        <f t="shared" si="43"/>
        <v>3208722979</v>
      </c>
      <c r="R129" s="29">
        <f t="shared" si="41"/>
        <v>0.67297042344798663</v>
      </c>
      <c r="S129" s="93">
        <f>S130+S131+S132</f>
        <v>336644663</v>
      </c>
      <c r="T129" s="94">
        <f>T130+T131+T132</f>
        <v>336644663</v>
      </c>
    </row>
    <row r="130" spans="1:20" ht="58.5" customHeight="1" x14ac:dyDescent="0.25">
      <c r="A130" s="88" t="s">
        <v>142</v>
      </c>
      <c r="B130" s="89" t="s">
        <v>144</v>
      </c>
      <c r="C130" s="89" t="s">
        <v>145</v>
      </c>
      <c r="D130" s="89" t="s">
        <v>164</v>
      </c>
      <c r="E130" s="89" t="s">
        <v>166</v>
      </c>
      <c r="F130" s="89" t="s">
        <v>167</v>
      </c>
      <c r="G130" s="25" t="s">
        <v>168</v>
      </c>
      <c r="H130" s="89" t="s">
        <v>19</v>
      </c>
      <c r="I130" s="90">
        <v>10</v>
      </c>
      <c r="J130" s="50">
        <v>3208722979</v>
      </c>
      <c r="K130" s="50"/>
      <c r="L130" s="50">
        <v>0</v>
      </c>
      <c r="M130" s="50">
        <f>J130+K130-L130</f>
        <v>3208722979</v>
      </c>
      <c r="N130" s="50">
        <v>0</v>
      </c>
      <c r="O130" s="50">
        <v>3208722979</v>
      </c>
      <c r="P130" s="50">
        <f>+M130-O130-N130</f>
        <v>0</v>
      </c>
      <c r="Q130" s="91">
        <v>3208722979</v>
      </c>
      <c r="R130" s="29">
        <f t="shared" si="41"/>
        <v>1</v>
      </c>
      <c r="S130" s="91">
        <v>336644663</v>
      </c>
      <c r="T130" s="92">
        <v>336644663</v>
      </c>
    </row>
    <row r="131" spans="1:20" ht="57.75" customHeight="1" x14ac:dyDescent="0.25">
      <c r="A131" s="88" t="s">
        <v>142</v>
      </c>
      <c r="B131" s="89" t="s">
        <v>144</v>
      </c>
      <c r="C131" s="89" t="s">
        <v>145</v>
      </c>
      <c r="D131" s="89" t="s">
        <v>164</v>
      </c>
      <c r="E131" s="89" t="s">
        <v>166</v>
      </c>
      <c r="F131" s="89" t="s">
        <v>169</v>
      </c>
      <c r="G131" s="25" t="s">
        <v>170</v>
      </c>
      <c r="H131" s="89" t="s">
        <v>19</v>
      </c>
      <c r="I131" s="90">
        <v>10</v>
      </c>
      <c r="J131" s="50">
        <v>1323487621</v>
      </c>
      <c r="K131" s="50">
        <v>0</v>
      </c>
      <c r="L131" s="50"/>
      <c r="M131" s="50">
        <f>J131+K131-L131</f>
        <v>1323487621</v>
      </c>
      <c r="N131" s="50">
        <v>0</v>
      </c>
      <c r="O131" s="50">
        <v>1323487621</v>
      </c>
      <c r="P131" s="50">
        <f>+M131-O131-N131</f>
        <v>0</v>
      </c>
      <c r="Q131" s="91">
        <v>0</v>
      </c>
      <c r="R131" s="29">
        <f t="shared" si="41"/>
        <v>0</v>
      </c>
      <c r="S131" s="91">
        <v>0</v>
      </c>
      <c r="T131" s="92">
        <v>0</v>
      </c>
    </row>
    <row r="132" spans="1:20" ht="57" customHeight="1" x14ac:dyDescent="0.25">
      <c r="A132" s="88" t="s">
        <v>142</v>
      </c>
      <c r="B132" s="89" t="s">
        <v>144</v>
      </c>
      <c r="C132" s="89" t="s">
        <v>145</v>
      </c>
      <c r="D132" s="89" t="s">
        <v>164</v>
      </c>
      <c r="E132" s="89" t="s">
        <v>166</v>
      </c>
      <c r="F132" s="89" t="s">
        <v>171</v>
      </c>
      <c r="G132" s="25" t="s">
        <v>172</v>
      </c>
      <c r="H132" s="89" t="s">
        <v>19</v>
      </c>
      <c r="I132" s="90">
        <v>10</v>
      </c>
      <c r="J132" s="50">
        <v>235789400</v>
      </c>
      <c r="K132" s="50">
        <v>0</v>
      </c>
      <c r="L132" s="50"/>
      <c r="M132" s="50">
        <f>J132+K132-L132</f>
        <v>235789400</v>
      </c>
      <c r="N132" s="50">
        <v>0</v>
      </c>
      <c r="O132" s="50">
        <v>235789400</v>
      </c>
      <c r="P132" s="50">
        <f>+M132-O132-N132</f>
        <v>0</v>
      </c>
      <c r="Q132" s="91">
        <v>0</v>
      </c>
      <c r="R132" s="29">
        <f t="shared" si="41"/>
        <v>0</v>
      </c>
      <c r="S132" s="91">
        <v>0</v>
      </c>
      <c r="T132" s="92">
        <v>0</v>
      </c>
    </row>
    <row r="133" spans="1:20" ht="48" customHeight="1" x14ac:dyDescent="0.25">
      <c r="A133" s="85" t="s">
        <v>142</v>
      </c>
      <c r="B133" s="86" t="s">
        <v>144</v>
      </c>
      <c r="C133" s="86" t="s">
        <v>145</v>
      </c>
      <c r="D133" s="86" t="s">
        <v>173</v>
      </c>
      <c r="E133" s="86"/>
      <c r="F133" s="86"/>
      <c r="G133" s="18" t="s">
        <v>174</v>
      </c>
      <c r="H133" s="86" t="s">
        <v>19</v>
      </c>
      <c r="I133" s="87">
        <v>10</v>
      </c>
      <c r="J133" s="47">
        <f t="shared" ref="J133:Q133" si="44">J135+J136</f>
        <v>9450711273</v>
      </c>
      <c r="K133" s="47">
        <f t="shared" si="44"/>
        <v>0</v>
      </c>
      <c r="L133" s="47">
        <f t="shared" si="44"/>
        <v>0</v>
      </c>
      <c r="M133" s="47">
        <f t="shared" si="44"/>
        <v>9450711273</v>
      </c>
      <c r="N133" s="47">
        <f t="shared" si="44"/>
        <v>0</v>
      </c>
      <c r="O133" s="47">
        <f t="shared" si="44"/>
        <v>9131612625.0200005</v>
      </c>
      <c r="P133" s="47">
        <f t="shared" si="44"/>
        <v>319098647.9800005</v>
      </c>
      <c r="Q133" s="93">
        <f t="shared" si="44"/>
        <v>5434907012.0200005</v>
      </c>
      <c r="R133" s="29">
        <f t="shared" si="41"/>
        <v>0.57507915066108706</v>
      </c>
      <c r="S133" s="93">
        <f>S135+S136</f>
        <v>302576616.69999999</v>
      </c>
      <c r="T133" s="94">
        <f>T135+T136</f>
        <v>302576616.69999999</v>
      </c>
    </row>
    <row r="134" spans="1:20" ht="46.5" customHeight="1" x14ac:dyDescent="0.25">
      <c r="A134" s="85" t="s">
        <v>142</v>
      </c>
      <c r="B134" s="86" t="s">
        <v>144</v>
      </c>
      <c r="C134" s="86" t="s">
        <v>145</v>
      </c>
      <c r="D134" s="86" t="s">
        <v>173</v>
      </c>
      <c r="E134" s="86"/>
      <c r="F134" s="86"/>
      <c r="G134" s="96" t="s">
        <v>174</v>
      </c>
      <c r="H134" s="86" t="s">
        <v>19</v>
      </c>
      <c r="I134" s="87">
        <v>21</v>
      </c>
      <c r="J134" s="93">
        <f t="shared" ref="J134:Q134" si="45">J137</f>
        <v>315108465</v>
      </c>
      <c r="K134" s="93">
        <f t="shared" si="45"/>
        <v>0</v>
      </c>
      <c r="L134" s="47">
        <f t="shared" si="45"/>
        <v>0</v>
      </c>
      <c r="M134" s="47">
        <f t="shared" si="45"/>
        <v>315108465</v>
      </c>
      <c r="N134" s="47">
        <f t="shared" si="45"/>
        <v>0</v>
      </c>
      <c r="O134" s="47">
        <f t="shared" si="45"/>
        <v>315108465</v>
      </c>
      <c r="P134" s="47">
        <f t="shared" si="45"/>
        <v>0</v>
      </c>
      <c r="Q134" s="93">
        <f t="shared" si="45"/>
        <v>315108465</v>
      </c>
      <c r="R134" s="123">
        <f t="shared" si="41"/>
        <v>1</v>
      </c>
      <c r="S134" s="93">
        <f>S137</f>
        <v>0</v>
      </c>
      <c r="T134" s="94">
        <f>T137</f>
        <v>0</v>
      </c>
    </row>
    <row r="135" spans="1:20" ht="46.5" customHeight="1" x14ac:dyDescent="0.25">
      <c r="A135" s="88" t="s">
        <v>142</v>
      </c>
      <c r="B135" s="89" t="s">
        <v>144</v>
      </c>
      <c r="C135" s="89" t="s">
        <v>145</v>
      </c>
      <c r="D135" s="89" t="s">
        <v>173</v>
      </c>
      <c r="E135" s="89" t="s">
        <v>148</v>
      </c>
      <c r="F135" s="89" t="s">
        <v>175</v>
      </c>
      <c r="G135" s="25" t="s">
        <v>176</v>
      </c>
      <c r="H135" s="89" t="s">
        <v>19</v>
      </c>
      <c r="I135" s="90">
        <v>10</v>
      </c>
      <c r="J135" s="91">
        <v>4548355034</v>
      </c>
      <c r="K135" s="91">
        <v>0</v>
      </c>
      <c r="L135" s="50"/>
      <c r="M135" s="50">
        <f>J135+K135-L135</f>
        <v>4548355034</v>
      </c>
      <c r="N135" s="50">
        <v>0</v>
      </c>
      <c r="O135" s="50">
        <v>4502570779.5299997</v>
      </c>
      <c r="P135" s="50">
        <f>+M135-O135-N135</f>
        <v>45784254.470000267</v>
      </c>
      <c r="Q135" s="91">
        <v>4186658280.5300002</v>
      </c>
      <c r="R135" s="29">
        <f t="shared" si="41"/>
        <v>0.9204774581653733</v>
      </c>
      <c r="S135" s="91">
        <v>0</v>
      </c>
      <c r="T135" s="92">
        <v>0</v>
      </c>
    </row>
    <row r="136" spans="1:20" ht="41.25" customHeight="1" x14ac:dyDescent="0.25">
      <c r="A136" s="88" t="s">
        <v>142</v>
      </c>
      <c r="B136" s="89" t="s">
        <v>144</v>
      </c>
      <c r="C136" s="89" t="s">
        <v>145</v>
      </c>
      <c r="D136" s="89" t="s">
        <v>173</v>
      </c>
      <c r="E136" s="89" t="s">
        <v>148</v>
      </c>
      <c r="F136" s="89" t="s">
        <v>177</v>
      </c>
      <c r="G136" s="25" t="s">
        <v>178</v>
      </c>
      <c r="H136" s="89" t="s">
        <v>19</v>
      </c>
      <c r="I136" s="90">
        <v>10</v>
      </c>
      <c r="J136" s="50">
        <v>4902356239</v>
      </c>
      <c r="K136" s="50"/>
      <c r="L136" s="50"/>
      <c r="M136" s="50">
        <f>J136+K136-L136</f>
        <v>4902356239</v>
      </c>
      <c r="N136" s="50">
        <v>0</v>
      </c>
      <c r="O136" s="50">
        <v>4629041845.4899998</v>
      </c>
      <c r="P136" s="50">
        <f>+M136-O136-N136</f>
        <v>273314393.51000023</v>
      </c>
      <c r="Q136" s="91">
        <v>1248248731.49</v>
      </c>
      <c r="R136" s="29">
        <f t="shared" si="41"/>
        <v>0.25462220014933518</v>
      </c>
      <c r="S136" s="91">
        <v>302576616.69999999</v>
      </c>
      <c r="T136" s="92">
        <v>302576616.69999999</v>
      </c>
    </row>
    <row r="137" spans="1:20" ht="56.25" customHeight="1" x14ac:dyDescent="0.25">
      <c r="A137" s="88" t="s">
        <v>142</v>
      </c>
      <c r="B137" s="89" t="s">
        <v>144</v>
      </c>
      <c r="C137" s="89" t="s">
        <v>145</v>
      </c>
      <c r="D137" s="89" t="s">
        <v>173</v>
      </c>
      <c r="E137" s="89" t="s">
        <v>148</v>
      </c>
      <c r="F137" s="89" t="s">
        <v>175</v>
      </c>
      <c r="G137" s="25" t="s">
        <v>176</v>
      </c>
      <c r="H137" s="89" t="s">
        <v>79</v>
      </c>
      <c r="I137" s="90">
        <v>21</v>
      </c>
      <c r="J137" s="50">
        <v>315108465</v>
      </c>
      <c r="K137" s="50">
        <v>0</v>
      </c>
      <c r="L137" s="50"/>
      <c r="M137" s="50">
        <f>J137+K137-L137</f>
        <v>315108465</v>
      </c>
      <c r="N137" s="50">
        <v>0</v>
      </c>
      <c r="O137" s="50">
        <v>315108465</v>
      </c>
      <c r="P137" s="50">
        <f>+M137-O137-N137</f>
        <v>0</v>
      </c>
      <c r="Q137" s="91">
        <v>315108465</v>
      </c>
      <c r="R137" s="29">
        <f t="shared" si="41"/>
        <v>1</v>
      </c>
      <c r="S137" s="97">
        <v>0</v>
      </c>
      <c r="T137" s="92">
        <v>0</v>
      </c>
    </row>
    <row r="138" spans="1:20" s="95" customFormat="1" ht="41.25" customHeight="1" x14ac:dyDescent="0.25">
      <c r="A138" s="85" t="s">
        <v>142</v>
      </c>
      <c r="B138" s="86" t="s">
        <v>144</v>
      </c>
      <c r="C138" s="86" t="s">
        <v>145</v>
      </c>
      <c r="D138" s="86" t="s">
        <v>179</v>
      </c>
      <c r="E138" s="86"/>
      <c r="F138" s="86"/>
      <c r="G138" s="96" t="s">
        <v>180</v>
      </c>
      <c r="H138" s="86" t="s">
        <v>19</v>
      </c>
      <c r="I138" s="87">
        <v>10</v>
      </c>
      <c r="J138" s="47">
        <f t="shared" ref="J138:Q138" si="46">J139+J140+J141</f>
        <v>1650642489</v>
      </c>
      <c r="K138" s="47">
        <f t="shared" si="46"/>
        <v>0</v>
      </c>
      <c r="L138" s="47">
        <f t="shared" si="46"/>
        <v>0</v>
      </c>
      <c r="M138" s="47">
        <f t="shared" si="46"/>
        <v>1650642489</v>
      </c>
      <c r="N138" s="47">
        <f t="shared" si="46"/>
        <v>0</v>
      </c>
      <c r="O138" s="47">
        <f t="shared" si="46"/>
        <v>1495584489</v>
      </c>
      <c r="P138" s="47">
        <f t="shared" si="46"/>
        <v>155058000</v>
      </c>
      <c r="Q138" s="93">
        <f t="shared" si="46"/>
        <v>574942000</v>
      </c>
      <c r="R138" s="123">
        <f t="shared" si="41"/>
        <v>0.34831406790474301</v>
      </c>
      <c r="S138" s="93">
        <f>S139+S140+S141</f>
        <v>0</v>
      </c>
      <c r="T138" s="94">
        <f>T139+T140+T141</f>
        <v>0</v>
      </c>
    </row>
    <row r="139" spans="1:20" s="36" customFormat="1" ht="55.5" customHeight="1" x14ac:dyDescent="0.25">
      <c r="A139" s="88" t="s">
        <v>142</v>
      </c>
      <c r="B139" s="89" t="s">
        <v>144</v>
      </c>
      <c r="C139" s="89" t="s">
        <v>145</v>
      </c>
      <c r="D139" s="89" t="s">
        <v>179</v>
      </c>
      <c r="E139" s="89" t="s">
        <v>148</v>
      </c>
      <c r="F139" s="89" t="s">
        <v>181</v>
      </c>
      <c r="G139" s="25" t="s">
        <v>182</v>
      </c>
      <c r="H139" s="89" t="s">
        <v>19</v>
      </c>
      <c r="I139" s="90">
        <v>10</v>
      </c>
      <c r="J139" s="91">
        <v>530000000</v>
      </c>
      <c r="K139" s="50">
        <v>0</v>
      </c>
      <c r="L139" s="50"/>
      <c r="M139" s="50">
        <f>J139+K139-L139</f>
        <v>530000000</v>
      </c>
      <c r="N139" s="54">
        <v>0</v>
      </c>
      <c r="O139" s="50">
        <v>450000000</v>
      </c>
      <c r="P139" s="50">
        <f>+M139-O139-N139</f>
        <v>80000000</v>
      </c>
      <c r="Q139" s="91">
        <v>450000000</v>
      </c>
      <c r="R139" s="29">
        <f t="shared" si="41"/>
        <v>0.84905660377358494</v>
      </c>
      <c r="S139" s="91">
        <v>0</v>
      </c>
      <c r="T139" s="92">
        <v>0</v>
      </c>
    </row>
    <row r="140" spans="1:20" s="36" customFormat="1" ht="48" customHeight="1" x14ac:dyDescent="0.25">
      <c r="A140" s="88" t="s">
        <v>142</v>
      </c>
      <c r="B140" s="89" t="s">
        <v>144</v>
      </c>
      <c r="C140" s="89" t="s">
        <v>145</v>
      </c>
      <c r="D140" s="89" t="s">
        <v>179</v>
      </c>
      <c r="E140" s="89" t="s">
        <v>148</v>
      </c>
      <c r="F140" s="89" t="s">
        <v>183</v>
      </c>
      <c r="G140" s="25" t="s">
        <v>184</v>
      </c>
      <c r="H140" s="89" t="s">
        <v>19</v>
      </c>
      <c r="I140" s="90">
        <v>10</v>
      </c>
      <c r="J140" s="91">
        <v>920642489</v>
      </c>
      <c r="K140" s="50"/>
      <c r="L140" s="50"/>
      <c r="M140" s="50">
        <f>J140+K140-L140</f>
        <v>920642489</v>
      </c>
      <c r="N140" s="54">
        <v>0</v>
      </c>
      <c r="O140" s="50">
        <v>920642489</v>
      </c>
      <c r="P140" s="50">
        <f>+M140-O140-N140</f>
        <v>0</v>
      </c>
      <c r="Q140" s="91">
        <v>0</v>
      </c>
      <c r="R140" s="29">
        <f t="shared" si="41"/>
        <v>0</v>
      </c>
      <c r="S140" s="91">
        <v>0</v>
      </c>
      <c r="T140" s="92">
        <v>0</v>
      </c>
    </row>
    <row r="141" spans="1:20" s="36" customFormat="1" ht="42.75" customHeight="1" x14ac:dyDescent="0.25">
      <c r="A141" s="88" t="s">
        <v>142</v>
      </c>
      <c r="B141" s="89" t="s">
        <v>144</v>
      </c>
      <c r="C141" s="89" t="s">
        <v>145</v>
      </c>
      <c r="D141" s="89" t="s">
        <v>179</v>
      </c>
      <c r="E141" s="89" t="s">
        <v>148</v>
      </c>
      <c r="F141" s="89" t="s">
        <v>185</v>
      </c>
      <c r="G141" s="25" t="s">
        <v>186</v>
      </c>
      <c r="H141" s="89" t="s">
        <v>19</v>
      </c>
      <c r="I141" s="90">
        <v>10</v>
      </c>
      <c r="J141" s="91">
        <v>200000000</v>
      </c>
      <c r="K141" s="50">
        <v>0</v>
      </c>
      <c r="L141" s="50"/>
      <c r="M141" s="50">
        <f>J141+K141-L141</f>
        <v>200000000</v>
      </c>
      <c r="N141" s="54">
        <v>0</v>
      </c>
      <c r="O141" s="50">
        <v>124942000</v>
      </c>
      <c r="P141" s="50">
        <f>+M141-O141-N141</f>
        <v>75058000</v>
      </c>
      <c r="Q141" s="91">
        <v>124942000</v>
      </c>
      <c r="R141" s="29">
        <f t="shared" si="41"/>
        <v>0.62470999999999999</v>
      </c>
      <c r="S141" s="91">
        <v>0</v>
      </c>
      <c r="T141" s="92">
        <v>0</v>
      </c>
    </row>
    <row r="142" spans="1:20" s="36" customFormat="1" ht="42.75" customHeight="1" x14ac:dyDescent="0.25">
      <c r="A142" s="85" t="s">
        <v>142</v>
      </c>
      <c r="B142" s="86" t="s">
        <v>144</v>
      </c>
      <c r="C142" s="86" t="s">
        <v>145</v>
      </c>
      <c r="D142" s="86">
        <v>16</v>
      </c>
      <c r="E142" s="86"/>
      <c r="F142" s="86"/>
      <c r="G142" s="18" t="s">
        <v>187</v>
      </c>
      <c r="H142" s="86" t="s">
        <v>19</v>
      </c>
      <c r="I142" s="87">
        <v>10</v>
      </c>
      <c r="J142" s="93">
        <f t="shared" ref="J142:Q142" si="47">J143+J144+J145+J146</f>
        <v>13925332736</v>
      </c>
      <c r="K142" s="47">
        <f t="shared" si="47"/>
        <v>0</v>
      </c>
      <c r="L142" s="47">
        <f t="shared" si="47"/>
        <v>0</v>
      </c>
      <c r="M142" s="47">
        <f t="shared" si="47"/>
        <v>13925332736</v>
      </c>
      <c r="N142" s="47">
        <f t="shared" si="47"/>
        <v>2265285132.4099998</v>
      </c>
      <c r="O142" s="47">
        <f t="shared" si="47"/>
        <v>11660047603.59</v>
      </c>
      <c r="P142" s="47">
        <f t="shared" si="47"/>
        <v>0</v>
      </c>
      <c r="Q142" s="93">
        <f t="shared" si="47"/>
        <v>8340465025.5199995</v>
      </c>
      <c r="R142" s="123">
        <f t="shared" si="41"/>
        <v>0.59894188409287286</v>
      </c>
      <c r="S142" s="93">
        <f>S143+S144+S145+S146</f>
        <v>1078706334.5799999</v>
      </c>
      <c r="T142" s="94">
        <f>T143+T144+T145+T146</f>
        <v>1078706334.5799999</v>
      </c>
    </row>
    <row r="143" spans="1:20" s="36" customFormat="1" ht="56.25" customHeight="1" x14ac:dyDescent="0.25">
      <c r="A143" s="88" t="s">
        <v>142</v>
      </c>
      <c r="B143" s="89" t="s">
        <v>144</v>
      </c>
      <c r="C143" s="89" t="s">
        <v>145</v>
      </c>
      <c r="D143" s="89">
        <v>16</v>
      </c>
      <c r="E143" s="89" t="s">
        <v>166</v>
      </c>
      <c r="F143" s="89" t="s">
        <v>149</v>
      </c>
      <c r="G143" s="25" t="s">
        <v>188</v>
      </c>
      <c r="H143" s="89" t="s">
        <v>19</v>
      </c>
      <c r="I143" s="90">
        <v>10</v>
      </c>
      <c r="J143" s="91">
        <v>5379741440</v>
      </c>
      <c r="K143" s="50">
        <v>0</v>
      </c>
      <c r="L143" s="50"/>
      <c r="M143" s="50">
        <f>J143+K143-L143</f>
        <v>5379741440</v>
      </c>
      <c r="N143" s="50">
        <f>M143-[1]REP_EPG034_EjecucionPresupuesta!$T$97</f>
        <v>742849704</v>
      </c>
      <c r="O143" s="50">
        <v>4636891736</v>
      </c>
      <c r="P143" s="50">
        <f>+M143-O143-N143</f>
        <v>0</v>
      </c>
      <c r="Q143" s="91">
        <v>2235927259</v>
      </c>
      <c r="R143" s="29">
        <f t="shared" si="41"/>
        <v>0.41561983674070402</v>
      </c>
      <c r="S143" s="91">
        <v>0</v>
      </c>
      <c r="T143" s="92">
        <v>0</v>
      </c>
    </row>
    <row r="144" spans="1:20" s="36" customFormat="1" ht="48.75" customHeight="1" x14ac:dyDescent="0.25">
      <c r="A144" s="88" t="s">
        <v>142</v>
      </c>
      <c r="B144" s="89" t="s">
        <v>144</v>
      </c>
      <c r="C144" s="89" t="s">
        <v>145</v>
      </c>
      <c r="D144" s="89">
        <v>16</v>
      </c>
      <c r="E144" s="89" t="s">
        <v>166</v>
      </c>
      <c r="F144" s="89" t="s">
        <v>162</v>
      </c>
      <c r="G144" s="25" t="s">
        <v>189</v>
      </c>
      <c r="H144" s="89" t="s">
        <v>19</v>
      </c>
      <c r="I144" s="90">
        <v>10</v>
      </c>
      <c r="J144" s="91">
        <v>6102635520</v>
      </c>
      <c r="K144" s="50">
        <v>0</v>
      </c>
      <c r="L144" s="50"/>
      <c r="M144" s="50">
        <f>J144+K144-L144</f>
        <v>6102635520</v>
      </c>
      <c r="N144" s="50">
        <f>M144-[1]REP_EPG034_EjecucionPresupuesta!$T$98</f>
        <v>886378625.98999977</v>
      </c>
      <c r="O144" s="50">
        <v>5216256894.0100002</v>
      </c>
      <c r="P144" s="50">
        <f>+M144-O144-N144</f>
        <v>0</v>
      </c>
      <c r="Q144" s="91">
        <v>4674277174.9399996</v>
      </c>
      <c r="R144" s="29">
        <f t="shared" si="41"/>
        <v>0.76594401871472073</v>
      </c>
      <c r="S144" s="91">
        <v>831636348</v>
      </c>
      <c r="T144" s="92">
        <v>831636348</v>
      </c>
    </row>
    <row r="145" spans="1:20" s="36" customFormat="1" ht="54" customHeight="1" x14ac:dyDescent="0.25">
      <c r="A145" s="88" t="s">
        <v>142</v>
      </c>
      <c r="B145" s="89" t="s">
        <v>144</v>
      </c>
      <c r="C145" s="89" t="s">
        <v>145</v>
      </c>
      <c r="D145" s="89">
        <v>16</v>
      </c>
      <c r="E145" s="89" t="s">
        <v>166</v>
      </c>
      <c r="F145" s="89" t="s">
        <v>169</v>
      </c>
      <c r="G145" s="25" t="s">
        <v>190</v>
      </c>
      <c r="H145" s="89" t="s">
        <v>19</v>
      </c>
      <c r="I145" s="90">
        <v>10</v>
      </c>
      <c r="J145" s="91">
        <v>2374790656</v>
      </c>
      <c r="K145" s="50">
        <v>0</v>
      </c>
      <c r="L145" s="50"/>
      <c r="M145" s="50">
        <f>J145+K145-L145</f>
        <v>2374790656</v>
      </c>
      <c r="N145" s="50">
        <f>M145-[1]REP_EPG034_EjecucionPresupuesta!$T$99</f>
        <v>636056802.42000008</v>
      </c>
      <c r="O145" s="50">
        <v>1738733853.5799999</v>
      </c>
      <c r="P145" s="50">
        <f>+M145-O145-N145</f>
        <v>0</v>
      </c>
      <c r="Q145" s="91">
        <v>1430260591.5799999</v>
      </c>
      <c r="R145" s="29">
        <f t="shared" si="41"/>
        <v>0.60226807275259886</v>
      </c>
      <c r="S145" s="91">
        <v>247069986.58000001</v>
      </c>
      <c r="T145" s="92">
        <v>247069986.58000001</v>
      </c>
    </row>
    <row r="146" spans="1:20" s="36" customFormat="1" ht="56.25" customHeight="1" x14ac:dyDescent="0.25">
      <c r="A146" s="88" t="s">
        <v>142</v>
      </c>
      <c r="B146" s="89" t="s">
        <v>144</v>
      </c>
      <c r="C146" s="89" t="s">
        <v>145</v>
      </c>
      <c r="D146" s="89">
        <v>16</v>
      </c>
      <c r="E146" s="89" t="s">
        <v>166</v>
      </c>
      <c r="F146" s="89" t="s">
        <v>158</v>
      </c>
      <c r="G146" s="25" t="s">
        <v>191</v>
      </c>
      <c r="H146" s="89" t="s">
        <v>19</v>
      </c>
      <c r="I146" s="90">
        <v>10</v>
      </c>
      <c r="J146" s="91">
        <v>68165120</v>
      </c>
      <c r="K146" s="50">
        <v>0</v>
      </c>
      <c r="L146" s="50"/>
      <c r="M146" s="50">
        <f>J146+K146-L146</f>
        <v>68165120</v>
      </c>
      <c r="N146" s="54">
        <v>0</v>
      </c>
      <c r="O146" s="50">
        <v>68165120</v>
      </c>
      <c r="P146" s="98">
        <f>+M146-O146-N146</f>
        <v>0</v>
      </c>
      <c r="Q146" s="91">
        <v>0</v>
      </c>
      <c r="R146" s="29">
        <f t="shared" si="41"/>
        <v>0</v>
      </c>
      <c r="S146" s="91">
        <v>0</v>
      </c>
      <c r="T146" s="92">
        <v>0</v>
      </c>
    </row>
    <row r="147" spans="1:20" ht="31.5" customHeight="1" x14ac:dyDescent="0.25">
      <c r="A147" s="85" t="s">
        <v>142</v>
      </c>
      <c r="B147" s="7">
        <v>2999</v>
      </c>
      <c r="C147" s="7"/>
      <c r="D147" s="7"/>
      <c r="E147" s="7"/>
      <c r="F147" s="7"/>
      <c r="G147" s="18" t="s">
        <v>192</v>
      </c>
      <c r="H147" s="7" t="s">
        <v>19</v>
      </c>
      <c r="I147" s="19">
        <v>10</v>
      </c>
      <c r="J147" s="22">
        <f t="shared" ref="J147:Q147" si="48">J148</f>
        <v>79850728985</v>
      </c>
      <c r="K147" s="22">
        <f t="shared" si="48"/>
        <v>0</v>
      </c>
      <c r="L147" s="20">
        <f t="shared" si="48"/>
        <v>0</v>
      </c>
      <c r="M147" s="47">
        <f t="shared" si="48"/>
        <v>79850728985</v>
      </c>
      <c r="N147" s="20">
        <f t="shared" si="48"/>
        <v>10406109938</v>
      </c>
      <c r="O147" s="20">
        <f t="shared" si="48"/>
        <v>58207554799.309998</v>
      </c>
      <c r="P147" s="20">
        <f t="shared" si="48"/>
        <v>11237064247.689999</v>
      </c>
      <c r="Q147" s="22">
        <f t="shared" si="48"/>
        <v>38159099015.309998</v>
      </c>
      <c r="R147" s="123">
        <f t="shared" si="41"/>
        <v>0.47788040886236871</v>
      </c>
      <c r="S147" s="22">
        <f>S148</f>
        <v>16883986820.130001</v>
      </c>
      <c r="T147" s="34">
        <f>T148</f>
        <v>16824524234.219999</v>
      </c>
    </row>
    <row r="148" spans="1:20" ht="31.5" customHeight="1" x14ac:dyDescent="0.25">
      <c r="A148" s="85" t="s">
        <v>142</v>
      </c>
      <c r="B148" s="7" t="s">
        <v>193</v>
      </c>
      <c r="C148" s="7" t="s">
        <v>145</v>
      </c>
      <c r="D148" s="7"/>
      <c r="E148" s="7"/>
      <c r="F148" s="7"/>
      <c r="G148" s="18" t="s">
        <v>194</v>
      </c>
      <c r="H148" s="7" t="s">
        <v>19</v>
      </c>
      <c r="I148" s="19">
        <v>10</v>
      </c>
      <c r="J148" s="22">
        <f t="shared" ref="J148:Q148" si="49">J149+J151+J154+J157+J160+J163+J166</f>
        <v>79850728985</v>
      </c>
      <c r="K148" s="22">
        <f t="shared" si="49"/>
        <v>0</v>
      </c>
      <c r="L148" s="20">
        <f t="shared" si="49"/>
        <v>0</v>
      </c>
      <c r="M148" s="47">
        <f t="shared" si="49"/>
        <v>79850728985</v>
      </c>
      <c r="N148" s="20">
        <f t="shared" si="49"/>
        <v>10406109938</v>
      </c>
      <c r="O148" s="20">
        <f t="shared" si="49"/>
        <v>58207554799.309998</v>
      </c>
      <c r="P148" s="20">
        <f t="shared" si="49"/>
        <v>11237064247.689999</v>
      </c>
      <c r="Q148" s="22">
        <f t="shared" si="49"/>
        <v>38159099015.309998</v>
      </c>
      <c r="R148" s="123">
        <f t="shared" si="41"/>
        <v>0.47788040886236871</v>
      </c>
      <c r="S148" s="22">
        <f>S149+S151+S154+S157+S160+S163+S166</f>
        <v>16883986820.130001</v>
      </c>
      <c r="T148" s="34">
        <f>T149+T151+T154+T157+T160+T163+T166</f>
        <v>16824524234.219999</v>
      </c>
    </row>
    <row r="149" spans="1:20" ht="31.5" customHeight="1" x14ac:dyDescent="0.25">
      <c r="A149" s="85" t="s">
        <v>142</v>
      </c>
      <c r="B149" s="7" t="s">
        <v>193</v>
      </c>
      <c r="C149" s="86" t="s">
        <v>145</v>
      </c>
      <c r="D149" s="86" t="s">
        <v>164</v>
      </c>
      <c r="E149" s="7"/>
      <c r="F149" s="7"/>
      <c r="G149" s="18" t="s">
        <v>195</v>
      </c>
      <c r="H149" s="86" t="s">
        <v>19</v>
      </c>
      <c r="I149" s="87">
        <v>10</v>
      </c>
      <c r="J149" s="22">
        <f t="shared" ref="J149:Q149" si="50">J150</f>
        <v>500000000</v>
      </c>
      <c r="K149" s="20">
        <f t="shared" si="50"/>
        <v>0</v>
      </c>
      <c r="L149" s="20">
        <f t="shared" si="50"/>
        <v>0</v>
      </c>
      <c r="M149" s="47">
        <f t="shared" si="50"/>
        <v>500000000</v>
      </c>
      <c r="N149" s="20">
        <f t="shared" si="50"/>
        <v>500000000</v>
      </c>
      <c r="O149" s="20">
        <f t="shared" si="50"/>
        <v>0</v>
      </c>
      <c r="P149" s="20">
        <f t="shared" si="50"/>
        <v>0</v>
      </c>
      <c r="Q149" s="22">
        <f t="shared" si="50"/>
        <v>0</v>
      </c>
      <c r="R149" s="29">
        <f t="shared" si="41"/>
        <v>0</v>
      </c>
      <c r="S149" s="22">
        <f>S150</f>
        <v>0</v>
      </c>
      <c r="T149" s="34">
        <f>T150</f>
        <v>0</v>
      </c>
    </row>
    <row r="150" spans="1:20" ht="42.75" customHeight="1" x14ac:dyDescent="0.25">
      <c r="A150" s="88" t="s">
        <v>142</v>
      </c>
      <c r="B150" s="17" t="s">
        <v>193</v>
      </c>
      <c r="C150" s="89" t="s">
        <v>145</v>
      </c>
      <c r="D150" s="89" t="s">
        <v>164</v>
      </c>
      <c r="E150" s="89" t="s">
        <v>196</v>
      </c>
      <c r="F150" s="89" t="s">
        <v>197</v>
      </c>
      <c r="G150" s="25" t="s">
        <v>198</v>
      </c>
      <c r="H150" s="89" t="s">
        <v>19</v>
      </c>
      <c r="I150" s="90">
        <v>10</v>
      </c>
      <c r="J150" s="50">
        <v>500000000</v>
      </c>
      <c r="K150" s="50">
        <v>0</v>
      </c>
      <c r="L150" s="50">
        <v>0</v>
      </c>
      <c r="M150" s="50">
        <f>J150+K150-L150</f>
        <v>500000000</v>
      </c>
      <c r="N150" s="50">
        <f>M150-[1]REP_EPG034_EjecucionPresupuesta!$T$101</f>
        <v>500000000</v>
      </c>
      <c r="O150" s="50">
        <v>0</v>
      </c>
      <c r="P150" s="28">
        <f>+M150-O150-N150</f>
        <v>0</v>
      </c>
      <c r="Q150" s="91">
        <v>0</v>
      </c>
      <c r="R150" s="29">
        <f t="shared" si="41"/>
        <v>0</v>
      </c>
      <c r="S150" s="91">
        <v>0</v>
      </c>
      <c r="T150" s="92">
        <v>0</v>
      </c>
    </row>
    <row r="151" spans="1:20" ht="48" customHeight="1" x14ac:dyDescent="0.25">
      <c r="A151" s="85" t="s">
        <v>142</v>
      </c>
      <c r="B151" s="86" t="s">
        <v>193</v>
      </c>
      <c r="C151" s="86" t="s">
        <v>145</v>
      </c>
      <c r="D151" s="86" t="s">
        <v>173</v>
      </c>
      <c r="E151" s="86"/>
      <c r="F151" s="86"/>
      <c r="G151" s="18" t="s">
        <v>199</v>
      </c>
      <c r="H151" s="86" t="s">
        <v>19</v>
      </c>
      <c r="I151" s="87">
        <v>10</v>
      </c>
      <c r="J151" s="47">
        <f t="shared" ref="J151:Q151" si="51">J152+J153</f>
        <v>28926585682</v>
      </c>
      <c r="K151" s="47">
        <f t="shared" si="51"/>
        <v>0</v>
      </c>
      <c r="L151" s="47">
        <f t="shared" si="51"/>
        <v>0</v>
      </c>
      <c r="M151" s="47">
        <f t="shared" si="51"/>
        <v>28926585682</v>
      </c>
      <c r="N151" s="47">
        <f t="shared" si="51"/>
        <v>8973748387</v>
      </c>
      <c r="O151" s="47">
        <f t="shared" si="51"/>
        <v>19952837295</v>
      </c>
      <c r="P151" s="20">
        <f t="shared" si="51"/>
        <v>0</v>
      </c>
      <c r="Q151" s="93">
        <f t="shared" si="51"/>
        <v>19759837295</v>
      </c>
      <c r="R151" s="123">
        <f t="shared" si="41"/>
        <v>0.6831029943259378</v>
      </c>
      <c r="S151" s="93">
        <f>S152+S153</f>
        <v>4391893582</v>
      </c>
      <c r="T151" s="94">
        <f>T152+T153</f>
        <v>4391893582</v>
      </c>
    </row>
    <row r="152" spans="1:20" ht="54.75" customHeight="1" x14ac:dyDescent="0.25">
      <c r="A152" s="88" t="s">
        <v>142</v>
      </c>
      <c r="B152" s="89" t="s">
        <v>193</v>
      </c>
      <c r="C152" s="89" t="s">
        <v>145</v>
      </c>
      <c r="D152" s="89" t="s">
        <v>173</v>
      </c>
      <c r="E152" s="89" t="s">
        <v>196</v>
      </c>
      <c r="F152" s="89" t="s">
        <v>200</v>
      </c>
      <c r="G152" s="25" t="s">
        <v>201</v>
      </c>
      <c r="H152" s="89" t="s">
        <v>19</v>
      </c>
      <c r="I152" s="90">
        <v>10</v>
      </c>
      <c r="J152" s="91">
        <v>3237138468</v>
      </c>
      <c r="K152" s="50">
        <v>0</v>
      </c>
      <c r="L152" s="50">
        <v>0</v>
      </c>
      <c r="M152" s="50">
        <f>J152+K152-L152</f>
        <v>3237138468</v>
      </c>
      <c r="N152" s="50">
        <f>M152-[1]REP_EPG034_EjecucionPresupuesta!$T$102</f>
        <v>2911634383</v>
      </c>
      <c r="O152" s="50">
        <v>325504085</v>
      </c>
      <c r="P152" s="28">
        <f>+M152-O152-N152</f>
        <v>0</v>
      </c>
      <c r="Q152" s="91">
        <v>132504085</v>
      </c>
      <c r="R152" s="29">
        <f t="shared" si="41"/>
        <v>4.0932473636774935E-2</v>
      </c>
      <c r="S152" s="91">
        <v>49907296</v>
      </c>
      <c r="T152" s="92">
        <v>49907296</v>
      </c>
    </row>
    <row r="153" spans="1:20" ht="47.25" customHeight="1" x14ac:dyDescent="0.25">
      <c r="A153" s="88" t="s">
        <v>142</v>
      </c>
      <c r="B153" s="89" t="s">
        <v>193</v>
      </c>
      <c r="C153" s="89" t="s">
        <v>145</v>
      </c>
      <c r="D153" s="89" t="s">
        <v>173</v>
      </c>
      <c r="E153" s="89" t="s">
        <v>196</v>
      </c>
      <c r="F153" s="89" t="s">
        <v>202</v>
      </c>
      <c r="G153" s="25" t="s">
        <v>203</v>
      </c>
      <c r="H153" s="89" t="s">
        <v>19</v>
      </c>
      <c r="I153" s="90">
        <v>10</v>
      </c>
      <c r="J153" s="91">
        <v>25689447214</v>
      </c>
      <c r="K153" s="50">
        <v>0</v>
      </c>
      <c r="L153" s="50">
        <v>0</v>
      </c>
      <c r="M153" s="50">
        <f>J153+K153-L153</f>
        <v>25689447214</v>
      </c>
      <c r="N153" s="50">
        <f>M153-[1]REP_EPG034_EjecucionPresupuesta!$T$103</f>
        <v>6062114004</v>
      </c>
      <c r="O153" s="50">
        <v>19627333210</v>
      </c>
      <c r="P153" s="28">
        <f>+M153-O153-N153</f>
        <v>0</v>
      </c>
      <c r="Q153" s="91">
        <v>19627333210</v>
      </c>
      <c r="R153" s="29">
        <f t="shared" si="41"/>
        <v>0.76402318222338683</v>
      </c>
      <c r="S153" s="92">
        <v>4341986286</v>
      </c>
      <c r="T153" s="92">
        <v>4341986286</v>
      </c>
    </row>
    <row r="154" spans="1:20" ht="47.25" customHeight="1" x14ac:dyDescent="0.25">
      <c r="A154" s="85" t="s">
        <v>142</v>
      </c>
      <c r="B154" s="86" t="s">
        <v>193</v>
      </c>
      <c r="C154" s="86" t="s">
        <v>145</v>
      </c>
      <c r="D154" s="86" t="s">
        <v>179</v>
      </c>
      <c r="E154" s="86"/>
      <c r="F154" s="86"/>
      <c r="G154" s="18" t="s">
        <v>204</v>
      </c>
      <c r="H154" s="86" t="s">
        <v>19</v>
      </c>
      <c r="I154" s="87">
        <v>10</v>
      </c>
      <c r="J154" s="93">
        <f t="shared" ref="J154:Q154" si="52">J155+J156</f>
        <v>6971059200</v>
      </c>
      <c r="K154" s="47">
        <f t="shared" si="52"/>
        <v>0</v>
      </c>
      <c r="L154" s="47">
        <f t="shared" si="52"/>
        <v>0</v>
      </c>
      <c r="M154" s="47">
        <f t="shared" si="52"/>
        <v>6971059200</v>
      </c>
      <c r="N154" s="47">
        <f t="shared" si="52"/>
        <v>731619604</v>
      </c>
      <c r="O154" s="47">
        <f t="shared" si="52"/>
        <v>6239439596</v>
      </c>
      <c r="P154" s="20">
        <f t="shared" si="52"/>
        <v>0</v>
      </c>
      <c r="Q154" s="93">
        <f t="shared" si="52"/>
        <v>5011883394</v>
      </c>
      <c r="R154" s="29">
        <f t="shared" si="41"/>
        <v>0.71895579282987587</v>
      </c>
      <c r="S154" s="93">
        <f>S155+S156</f>
        <v>1753764465</v>
      </c>
      <c r="T154" s="94">
        <f>T155+T156</f>
        <v>1735973955</v>
      </c>
    </row>
    <row r="155" spans="1:20" ht="41.25" customHeight="1" x14ac:dyDescent="0.25">
      <c r="A155" s="88" t="s">
        <v>142</v>
      </c>
      <c r="B155" s="89" t="s">
        <v>193</v>
      </c>
      <c r="C155" s="89" t="s">
        <v>145</v>
      </c>
      <c r="D155" s="89" t="s">
        <v>179</v>
      </c>
      <c r="E155" s="89" t="s">
        <v>196</v>
      </c>
      <c r="F155" s="89" t="s">
        <v>205</v>
      </c>
      <c r="G155" s="25" t="s">
        <v>206</v>
      </c>
      <c r="H155" s="89" t="s">
        <v>19</v>
      </c>
      <c r="I155" s="90">
        <v>10</v>
      </c>
      <c r="J155" s="91">
        <v>1313633024</v>
      </c>
      <c r="K155" s="50">
        <v>0</v>
      </c>
      <c r="L155" s="50">
        <v>0</v>
      </c>
      <c r="M155" s="50">
        <f>J155+K155-L155</f>
        <v>1313633024</v>
      </c>
      <c r="N155" s="50">
        <f>M155-[1]REP_EPG034_EjecucionPresupuesta!$T$104</f>
        <v>267683054</v>
      </c>
      <c r="O155" s="50">
        <v>1045949970</v>
      </c>
      <c r="P155" s="28">
        <f>+M155-O155-N155</f>
        <v>0</v>
      </c>
      <c r="Q155" s="91">
        <v>398079702</v>
      </c>
      <c r="R155" s="29">
        <f t="shared" si="41"/>
        <v>0.30303722175608155</v>
      </c>
      <c r="S155" s="91">
        <v>42348530</v>
      </c>
      <c r="T155" s="92">
        <v>42348530</v>
      </c>
    </row>
    <row r="156" spans="1:20" ht="47.25" customHeight="1" x14ac:dyDescent="0.25">
      <c r="A156" s="88" t="s">
        <v>142</v>
      </c>
      <c r="B156" s="89" t="s">
        <v>193</v>
      </c>
      <c r="C156" s="89" t="s">
        <v>145</v>
      </c>
      <c r="D156" s="89" t="s">
        <v>179</v>
      </c>
      <c r="E156" s="89" t="s">
        <v>196</v>
      </c>
      <c r="F156" s="89" t="s">
        <v>202</v>
      </c>
      <c r="G156" s="25" t="s">
        <v>207</v>
      </c>
      <c r="H156" s="89" t="s">
        <v>19</v>
      </c>
      <c r="I156" s="90">
        <v>10</v>
      </c>
      <c r="J156" s="91">
        <v>5657426176</v>
      </c>
      <c r="K156" s="50">
        <v>0</v>
      </c>
      <c r="L156" s="50">
        <v>0</v>
      </c>
      <c r="M156" s="50">
        <f>J156+K156-L156</f>
        <v>5657426176</v>
      </c>
      <c r="N156" s="50">
        <f>M156-[1]REP_EPG034_EjecucionPresupuesta!$T$105</f>
        <v>463936550</v>
      </c>
      <c r="O156" s="50">
        <v>5193489626</v>
      </c>
      <c r="P156" s="28">
        <f>+M156-O156-N156</f>
        <v>0</v>
      </c>
      <c r="Q156" s="91">
        <v>4613803692</v>
      </c>
      <c r="R156" s="29">
        <f t="shared" si="41"/>
        <v>0.81553051661066867</v>
      </c>
      <c r="S156" s="91">
        <v>1711415935</v>
      </c>
      <c r="T156" s="92">
        <v>1693625425</v>
      </c>
    </row>
    <row r="157" spans="1:20" s="95" customFormat="1" ht="32.25" customHeight="1" x14ac:dyDescent="0.25">
      <c r="A157" s="85" t="s">
        <v>142</v>
      </c>
      <c r="B157" s="86" t="s">
        <v>193</v>
      </c>
      <c r="C157" s="86" t="s">
        <v>145</v>
      </c>
      <c r="D157" s="86" t="s">
        <v>208</v>
      </c>
      <c r="E157" s="86"/>
      <c r="F157" s="86"/>
      <c r="G157" s="18" t="s">
        <v>209</v>
      </c>
      <c r="H157" s="86" t="s">
        <v>19</v>
      </c>
      <c r="I157" s="87">
        <v>10</v>
      </c>
      <c r="J157" s="93">
        <f t="shared" ref="J157:Q157" si="53">J159+J158</f>
        <v>1600000000</v>
      </c>
      <c r="K157" s="47">
        <f t="shared" si="53"/>
        <v>0</v>
      </c>
      <c r="L157" s="47">
        <f t="shared" si="53"/>
        <v>0</v>
      </c>
      <c r="M157" s="47">
        <f t="shared" si="53"/>
        <v>1600000000</v>
      </c>
      <c r="N157" s="47">
        <f t="shared" si="53"/>
        <v>22622715</v>
      </c>
      <c r="O157" s="47">
        <f t="shared" si="53"/>
        <v>1577377285</v>
      </c>
      <c r="P157" s="20">
        <f t="shared" si="53"/>
        <v>0</v>
      </c>
      <c r="Q157" s="93">
        <f t="shared" si="53"/>
        <v>1577377285</v>
      </c>
      <c r="R157" s="123">
        <f t="shared" si="41"/>
        <v>0.98586080312500002</v>
      </c>
      <c r="S157" s="93">
        <f>S159+S158</f>
        <v>116568902.31</v>
      </c>
      <c r="T157" s="94">
        <f>T159+T158</f>
        <v>89441726.400000006</v>
      </c>
    </row>
    <row r="158" spans="1:20" s="95" customFormat="1" ht="42.75" customHeight="1" x14ac:dyDescent="0.25">
      <c r="A158" s="88" t="s">
        <v>142</v>
      </c>
      <c r="B158" s="89" t="s">
        <v>193</v>
      </c>
      <c r="C158" s="89" t="s">
        <v>145</v>
      </c>
      <c r="D158" s="89" t="s">
        <v>208</v>
      </c>
      <c r="E158" s="89" t="s">
        <v>196</v>
      </c>
      <c r="F158" s="89">
        <v>2999011</v>
      </c>
      <c r="G158" s="25" t="s">
        <v>210</v>
      </c>
      <c r="H158" s="89" t="s">
        <v>19</v>
      </c>
      <c r="I158" s="90">
        <v>10</v>
      </c>
      <c r="J158" s="91">
        <v>149904000</v>
      </c>
      <c r="K158" s="50">
        <v>0</v>
      </c>
      <c r="L158" s="50">
        <v>0</v>
      </c>
      <c r="M158" s="50">
        <f>J158+K158-L158</f>
        <v>149904000</v>
      </c>
      <c r="N158" s="50">
        <f>M158-[1]REP_EPG034_EjecucionPresupuesta!$T$106</f>
        <v>11999024</v>
      </c>
      <c r="O158" s="50">
        <v>137904976</v>
      </c>
      <c r="P158" s="28">
        <f>+M158-O158-N158</f>
        <v>0</v>
      </c>
      <c r="Q158" s="91">
        <v>137904976</v>
      </c>
      <c r="R158" s="29">
        <f t="shared" si="41"/>
        <v>0.91995527804461519</v>
      </c>
      <c r="S158" s="91">
        <v>0</v>
      </c>
      <c r="T158" s="92">
        <v>0</v>
      </c>
    </row>
    <row r="159" spans="1:20" ht="46.5" customHeight="1" x14ac:dyDescent="0.25">
      <c r="A159" s="88" t="s">
        <v>142</v>
      </c>
      <c r="B159" s="89" t="s">
        <v>193</v>
      </c>
      <c r="C159" s="89" t="s">
        <v>145</v>
      </c>
      <c r="D159" s="89" t="s">
        <v>208</v>
      </c>
      <c r="E159" s="89" t="s">
        <v>196</v>
      </c>
      <c r="F159" s="89" t="s">
        <v>205</v>
      </c>
      <c r="G159" s="25" t="s">
        <v>211</v>
      </c>
      <c r="H159" s="89" t="s">
        <v>19</v>
      </c>
      <c r="I159" s="90">
        <v>10</v>
      </c>
      <c r="J159" s="91">
        <v>1450096000</v>
      </c>
      <c r="K159" s="50">
        <v>0</v>
      </c>
      <c r="L159" s="50">
        <v>0</v>
      </c>
      <c r="M159" s="50">
        <f>J159+K159-L159</f>
        <v>1450096000</v>
      </c>
      <c r="N159" s="50">
        <f>M159-[1]REP_EPG034_EjecucionPresupuesta!$T$107</f>
        <v>10623691</v>
      </c>
      <c r="O159" s="50">
        <v>1439472309</v>
      </c>
      <c r="P159" s="28">
        <f>+M159-O159-N159</f>
        <v>0</v>
      </c>
      <c r="Q159" s="91">
        <v>1439472309</v>
      </c>
      <c r="R159" s="29">
        <f t="shared" si="41"/>
        <v>0.99267380159658392</v>
      </c>
      <c r="S159" s="91">
        <v>116568902.31</v>
      </c>
      <c r="T159" s="92">
        <v>89441726.400000006</v>
      </c>
    </row>
    <row r="160" spans="1:20" ht="42" customHeight="1" x14ac:dyDescent="0.25">
      <c r="A160" s="85" t="s">
        <v>142</v>
      </c>
      <c r="B160" s="86" t="s">
        <v>193</v>
      </c>
      <c r="C160" s="7" t="s">
        <v>145</v>
      </c>
      <c r="D160" s="7" t="s">
        <v>212</v>
      </c>
      <c r="E160" s="7"/>
      <c r="F160" s="7"/>
      <c r="G160" s="18" t="s">
        <v>213</v>
      </c>
      <c r="H160" s="7" t="s">
        <v>19</v>
      </c>
      <c r="I160" s="19">
        <v>10</v>
      </c>
      <c r="J160" s="22">
        <f t="shared" ref="J160:Q160" si="54">J161+J162</f>
        <v>770705920</v>
      </c>
      <c r="K160" s="20">
        <f t="shared" si="54"/>
        <v>0</v>
      </c>
      <c r="L160" s="99">
        <f t="shared" si="54"/>
        <v>0</v>
      </c>
      <c r="M160" s="47">
        <f t="shared" si="54"/>
        <v>770705920</v>
      </c>
      <c r="N160" s="20">
        <f t="shared" si="54"/>
        <v>178119232</v>
      </c>
      <c r="O160" s="20">
        <f t="shared" si="54"/>
        <v>592586688</v>
      </c>
      <c r="P160" s="20">
        <f t="shared" si="54"/>
        <v>0</v>
      </c>
      <c r="Q160" s="22">
        <f t="shared" si="54"/>
        <v>388283299</v>
      </c>
      <c r="R160" s="123">
        <f t="shared" si="41"/>
        <v>0.50380214933343193</v>
      </c>
      <c r="S160" s="22">
        <f>S161+S162</f>
        <v>69430355.010000005</v>
      </c>
      <c r="T160" s="34">
        <f>T161+T162</f>
        <v>54885455.009999998</v>
      </c>
    </row>
    <row r="161" spans="1:20" ht="45.75" customHeight="1" x14ac:dyDescent="0.25">
      <c r="A161" s="88" t="s">
        <v>142</v>
      </c>
      <c r="B161" s="89" t="s">
        <v>193</v>
      </c>
      <c r="C161" s="17" t="s">
        <v>145</v>
      </c>
      <c r="D161" s="17" t="s">
        <v>212</v>
      </c>
      <c r="E161" s="17" t="s">
        <v>196</v>
      </c>
      <c r="F161" s="17" t="s">
        <v>214</v>
      </c>
      <c r="G161" s="25" t="s">
        <v>215</v>
      </c>
      <c r="H161" s="17" t="s">
        <v>19</v>
      </c>
      <c r="I161" s="26">
        <v>10</v>
      </c>
      <c r="J161" s="27">
        <v>307558131</v>
      </c>
      <c r="K161" s="28"/>
      <c r="L161" s="28"/>
      <c r="M161" s="50">
        <f>J161+K161-L161</f>
        <v>307558131</v>
      </c>
      <c r="N161" s="28">
        <f>M161-[1]REP_EPG034_EjecucionPresupuesta!$T$108</f>
        <v>97668923</v>
      </c>
      <c r="O161" s="28">
        <v>209889208</v>
      </c>
      <c r="P161" s="28">
        <f>+M161-O161-N161</f>
        <v>0</v>
      </c>
      <c r="Q161" s="27">
        <v>194889208</v>
      </c>
      <c r="R161" s="29">
        <f t="shared" si="41"/>
        <v>0.63366625153538858</v>
      </c>
      <c r="S161" s="27">
        <v>54525279</v>
      </c>
      <c r="T161" s="30">
        <v>39980379</v>
      </c>
    </row>
    <row r="162" spans="1:20" ht="39" customHeight="1" x14ac:dyDescent="0.25">
      <c r="A162" s="88" t="s">
        <v>142</v>
      </c>
      <c r="B162" s="89" t="s">
        <v>193</v>
      </c>
      <c r="C162" s="17" t="s">
        <v>145</v>
      </c>
      <c r="D162" s="17" t="s">
        <v>212</v>
      </c>
      <c r="E162" s="17" t="s">
        <v>196</v>
      </c>
      <c r="F162" s="17" t="s">
        <v>205</v>
      </c>
      <c r="G162" s="25" t="s">
        <v>216</v>
      </c>
      <c r="H162" s="17" t="s">
        <v>19</v>
      </c>
      <c r="I162" s="26">
        <v>10</v>
      </c>
      <c r="J162" s="27">
        <v>463147789</v>
      </c>
      <c r="K162" s="28"/>
      <c r="L162" s="28"/>
      <c r="M162" s="50">
        <f>J162+K162-L162</f>
        <v>463147789</v>
      </c>
      <c r="N162" s="28">
        <f>M162-[1]REP_EPG034_EjecucionPresupuesta!$T$109</f>
        <v>80450309</v>
      </c>
      <c r="O162" s="28">
        <v>382697480</v>
      </c>
      <c r="P162" s="28">
        <f>+M162-O162-N162</f>
        <v>0</v>
      </c>
      <c r="Q162" s="27">
        <v>193394091</v>
      </c>
      <c r="R162" s="29">
        <f t="shared" si="41"/>
        <v>0.41756453467599303</v>
      </c>
      <c r="S162" s="27">
        <v>14905076.01</v>
      </c>
      <c r="T162" s="30">
        <v>14905076.01</v>
      </c>
    </row>
    <row r="163" spans="1:20" ht="39" customHeight="1" x14ac:dyDescent="0.25">
      <c r="A163" s="85" t="s">
        <v>142</v>
      </c>
      <c r="B163" s="7" t="s">
        <v>193</v>
      </c>
      <c r="C163" s="7" t="s">
        <v>145</v>
      </c>
      <c r="D163" s="7">
        <v>25</v>
      </c>
      <c r="E163" s="7"/>
      <c r="F163" s="7"/>
      <c r="G163" s="18" t="s">
        <v>217</v>
      </c>
      <c r="H163" s="7" t="s">
        <v>19</v>
      </c>
      <c r="I163" s="19">
        <v>10</v>
      </c>
      <c r="J163" s="22">
        <f t="shared" ref="J163:Q163" si="55">J164+J165</f>
        <v>24962878183</v>
      </c>
      <c r="K163" s="20">
        <f t="shared" si="55"/>
        <v>0</v>
      </c>
      <c r="L163" s="20">
        <f t="shared" si="55"/>
        <v>0</v>
      </c>
      <c r="M163" s="47">
        <f t="shared" si="55"/>
        <v>24962878183</v>
      </c>
      <c r="N163" s="20">
        <f t="shared" si="55"/>
        <v>0</v>
      </c>
      <c r="O163" s="20">
        <f t="shared" si="55"/>
        <v>13725813935.310001</v>
      </c>
      <c r="P163" s="20">
        <f t="shared" si="55"/>
        <v>11237064247.689999</v>
      </c>
      <c r="Q163" s="22">
        <f t="shared" si="55"/>
        <v>11421717742.310001</v>
      </c>
      <c r="R163" s="123">
        <f t="shared" si="41"/>
        <v>0.45754811038129084</v>
      </c>
      <c r="S163" s="22">
        <f>S164+S165</f>
        <v>10552329515.809999</v>
      </c>
      <c r="T163" s="34">
        <f>T164+T165</f>
        <v>10552329515.809999</v>
      </c>
    </row>
    <row r="164" spans="1:20" ht="39" customHeight="1" x14ac:dyDescent="0.25">
      <c r="A164" s="88" t="s">
        <v>142</v>
      </c>
      <c r="B164" s="17" t="s">
        <v>193</v>
      </c>
      <c r="C164" s="17" t="s">
        <v>145</v>
      </c>
      <c r="D164" s="17">
        <v>25</v>
      </c>
      <c r="E164" s="17" t="s">
        <v>196</v>
      </c>
      <c r="F164" s="17">
        <v>2999011</v>
      </c>
      <c r="G164" s="25" t="s">
        <v>218</v>
      </c>
      <c r="H164" s="17" t="s">
        <v>19</v>
      </c>
      <c r="I164" s="26">
        <v>10</v>
      </c>
      <c r="J164" s="27">
        <v>3044496517</v>
      </c>
      <c r="K164" s="20"/>
      <c r="L164" s="20"/>
      <c r="M164" s="50">
        <f>J164+K164-L164</f>
        <v>3044496517</v>
      </c>
      <c r="N164" s="28"/>
      <c r="O164" s="28">
        <v>3014268409.4400001</v>
      </c>
      <c r="P164" s="28">
        <f>+M164-O164-N164</f>
        <v>30228107.559999943</v>
      </c>
      <c r="Q164" s="27">
        <v>710172216.44000006</v>
      </c>
      <c r="R164" s="29">
        <f t="shared" si="41"/>
        <v>0.23326425649512414</v>
      </c>
      <c r="S164" s="27">
        <v>17880926.809999999</v>
      </c>
      <c r="T164" s="30">
        <v>17880926.809999999</v>
      </c>
    </row>
    <row r="165" spans="1:20" ht="39" customHeight="1" x14ac:dyDescent="0.25">
      <c r="A165" s="88" t="s">
        <v>142</v>
      </c>
      <c r="B165" s="17" t="s">
        <v>193</v>
      </c>
      <c r="C165" s="17" t="s">
        <v>145</v>
      </c>
      <c r="D165" s="17">
        <v>25</v>
      </c>
      <c r="E165" s="17" t="s">
        <v>196</v>
      </c>
      <c r="F165" s="17">
        <v>2999054</v>
      </c>
      <c r="G165" s="25" t="s">
        <v>219</v>
      </c>
      <c r="H165" s="17" t="s">
        <v>19</v>
      </c>
      <c r="I165" s="26">
        <v>10</v>
      </c>
      <c r="J165" s="27">
        <v>21918381666</v>
      </c>
      <c r="K165" s="20"/>
      <c r="L165" s="20"/>
      <c r="M165" s="50">
        <f>J165+K165-L165</f>
        <v>21918381666</v>
      </c>
      <c r="N165" s="28"/>
      <c r="O165" s="28">
        <v>10711545525.870001</v>
      </c>
      <c r="P165" s="28">
        <f>+M165-O165-N165</f>
        <v>11206836140.129999</v>
      </c>
      <c r="Q165" s="27">
        <v>10711545525.870001</v>
      </c>
      <c r="R165" s="29">
        <f t="shared" si="41"/>
        <v>0.48870147847118889</v>
      </c>
      <c r="S165" s="27">
        <v>10534448589</v>
      </c>
      <c r="T165" s="30">
        <v>10534448589</v>
      </c>
    </row>
    <row r="166" spans="1:20" ht="39" customHeight="1" x14ac:dyDescent="0.25">
      <c r="A166" s="85" t="s">
        <v>142</v>
      </c>
      <c r="B166" s="7" t="s">
        <v>193</v>
      </c>
      <c r="C166" s="7" t="s">
        <v>145</v>
      </c>
      <c r="D166" s="7">
        <v>26</v>
      </c>
      <c r="E166" s="17"/>
      <c r="F166" s="17"/>
      <c r="G166" s="18" t="s">
        <v>220</v>
      </c>
      <c r="H166" s="7" t="s">
        <v>19</v>
      </c>
      <c r="I166" s="19">
        <v>10</v>
      </c>
      <c r="J166" s="22">
        <f t="shared" ref="J166:Q166" si="56">J167</f>
        <v>16119500000</v>
      </c>
      <c r="K166" s="20">
        <f t="shared" si="56"/>
        <v>0</v>
      </c>
      <c r="L166" s="20">
        <f t="shared" si="56"/>
        <v>0</v>
      </c>
      <c r="M166" s="47">
        <f t="shared" si="56"/>
        <v>16119500000</v>
      </c>
      <c r="N166" s="20">
        <f t="shared" si="56"/>
        <v>0</v>
      </c>
      <c r="O166" s="20">
        <f t="shared" si="56"/>
        <v>16119500000</v>
      </c>
      <c r="P166" s="20">
        <f t="shared" si="56"/>
        <v>0</v>
      </c>
      <c r="Q166" s="22">
        <f t="shared" si="56"/>
        <v>0</v>
      </c>
      <c r="R166" s="123">
        <f t="shared" ref="R166:R171" si="57">IF(Q166&gt;1,Q166/(M166),0)</f>
        <v>0</v>
      </c>
      <c r="S166" s="22">
        <f>S167</f>
        <v>0</v>
      </c>
      <c r="T166" s="34">
        <f>T167</f>
        <v>0</v>
      </c>
    </row>
    <row r="167" spans="1:20" ht="32.25" customHeight="1" x14ac:dyDescent="0.25">
      <c r="A167" s="88" t="s">
        <v>142</v>
      </c>
      <c r="B167" s="17" t="s">
        <v>193</v>
      </c>
      <c r="C167" s="17" t="s">
        <v>145</v>
      </c>
      <c r="D167" s="17">
        <v>26</v>
      </c>
      <c r="E167" s="17" t="s">
        <v>221</v>
      </c>
      <c r="F167" s="17">
        <v>2999054</v>
      </c>
      <c r="G167" s="25" t="s">
        <v>222</v>
      </c>
      <c r="H167" s="17" t="s">
        <v>19</v>
      </c>
      <c r="I167" s="26">
        <v>10</v>
      </c>
      <c r="J167" s="27">
        <v>16119500000</v>
      </c>
      <c r="K167" s="28">
        <v>0</v>
      </c>
      <c r="L167" s="28"/>
      <c r="M167" s="50">
        <f>J167+K167-L167</f>
        <v>16119500000</v>
      </c>
      <c r="N167" s="28">
        <v>0</v>
      </c>
      <c r="O167" s="28">
        <v>16119500000</v>
      </c>
      <c r="P167" s="28">
        <f>+M167-O167-N167</f>
        <v>0</v>
      </c>
      <c r="Q167" s="27">
        <v>0</v>
      </c>
      <c r="R167" s="29">
        <f t="shared" si="57"/>
        <v>0</v>
      </c>
      <c r="S167" s="27">
        <v>0</v>
      </c>
      <c r="T167" s="30">
        <v>0</v>
      </c>
    </row>
    <row r="168" spans="1:20" ht="16.5" customHeight="1" x14ac:dyDescent="0.25">
      <c r="A168" s="37" t="s">
        <v>142</v>
      </c>
      <c r="B168" s="37"/>
      <c r="C168" s="37"/>
      <c r="D168" s="37"/>
      <c r="E168" s="37"/>
      <c r="F168" s="37"/>
      <c r="G168" s="38" t="s">
        <v>223</v>
      </c>
      <c r="H168" s="37" t="s">
        <v>19</v>
      </c>
      <c r="I168" s="39">
        <v>10</v>
      </c>
      <c r="J168" s="40">
        <f t="shared" ref="J168:Q168" si="58">J119+J147</f>
        <v>136555593083</v>
      </c>
      <c r="K168" s="40">
        <f t="shared" si="58"/>
        <v>3159178868</v>
      </c>
      <c r="L168" s="40">
        <f t="shared" si="58"/>
        <v>3159178868</v>
      </c>
      <c r="M168" s="40">
        <f t="shared" si="58"/>
        <v>136555593083</v>
      </c>
      <c r="N168" s="100">
        <f t="shared" si="58"/>
        <v>12671395070.41</v>
      </c>
      <c r="O168" s="40">
        <f t="shared" si="58"/>
        <v>109035444053.52</v>
      </c>
      <c r="P168" s="40">
        <f t="shared" si="58"/>
        <v>14848753959.07</v>
      </c>
      <c r="Q168" s="40">
        <f t="shared" si="58"/>
        <v>70703630657.449997</v>
      </c>
      <c r="R168" s="41">
        <f t="shared" si="57"/>
        <v>0.51776444348548611</v>
      </c>
      <c r="S168" s="40">
        <f>S119+S147</f>
        <v>20372550535.490002</v>
      </c>
      <c r="T168" s="42">
        <f>T119+T147</f>
        <v>20311381609.579998</v>
      </c>
    </row>
    <row r="169" spans="1:20" ht="15" customHeight="1" x14ac:dyDescent="0.25">
      <c r="A169" s="37" t="s">
        <v>142</v>
      </c>
      <c r="B169" s="37"/>
      <c r="C169" s="37"/>
      <c r="D169" s="37"/>
      <c r="E169" s="37"/>
      <c r="F169" s="37"/>
      <c r="G169" s="38" t="s">
        <v>223</v>
      </c>
      <c r="H169" s="37" t="s">
        <v>79</v>
      </c>
      <c r="I169" s="39">
        <v>21</v>
      </c>
      <c r="J169" s="40">
        <f>J120</f>
        <v>315108465</v>
      </c>
      <c r="K169" s="40">
        <f>K120</f>
        <v>0</v>
      </c>
      <c r="L169" s="40">
        <f>L120</f>
        <v>0</v>
      </c>
      <c r="M169" s="40">
        <f>M120</f>
        <v>315108465</v>
      </c>
      <c r="N169" s="100">
        <v>0</v>
      </c>
      <c r="O169" s="40">
        <f>O120</f>
        <v>315108465</v>
      </c>
      <c r="P169" s="40">
        <f>P120</f>
        <v>0</v>
      </c>
      <c r="Q169" s="40">
        <f>Q120</f>
        <v>315108465</v>
      </c>
      <c r="R169" s="41">
        <f t="shared" si="57"/>
        <v>1</v>
      </c>
      <c r="S169" s="40">
        <f>S120</f>
        <v>0</v>
      </c>
      <c r="T169" s="42">
        <f>T120</f>
        <v>0</v>
      </c>
    </row>
    <row r="170" spans="1:20" s="104" customFormat="1" ht="13.5" customHeight="1" x14ac:dyDescent="0.2">
      <c r="A170" s="127" t="s">
        <v>224</v>
      </c>
      <c r="B170" s="127"/>
      <c r="C170" s="127"/>
      <c r="D170" s="127"/>
      <c r="E170" s="127"/>
      <c r="F170" s="127"/>
      <c r="G170" s="127"/>
      <c r="H170" s="127"/>
      <c r="I170" s="127"/>
      <c r="J170" s="101">
        <f t="shared" ref="J170:Q170" si="59">SUM(J168:J169)</f>
        <v>136870701548</v>
      </c>
      <c r="K170" s="101">
        <f t="shared" si="59"/>
        <v>3159178868</v>
      </c>
      <c r="L170" s="101">
        <f t="shared" si="59"/>
        <v>3159178868</v>
      </c>
      <c r="M170" s="101">
        <f t="shared" si="59"/>
        <v>136870701548</v>
      </c>
      <c r="N170" s="101">
        <f t="shared" si="59"/>
        <v>12671395070.41</v>
      </c>
      <c r="O170" s="101">
        <f t="shared" si="59"/>
        <v>109350552518.52</v>
      </c>
      <c r="P170" s="101">
        <f t="shared" si="59"/>
        <v>14848753959.07</v>
      </c>
      <c r="Q170" s="101">
        <f t="shared" si="59"/>
        <v>71018739122.449997</v>
      </c>
      <c r="R170" s="102">
        <f t="shared" si="57"/>
        <v>0.51887466286964279</v>
      </c>
      <c r="S170" s="101">
        <f>SUM(S168:S169)</f>
        <v>20372550535.490002</v>
      </c>
      <c r="T170" s="103">
        <f>SUM(T168:T169)</f>
        <v>20311381609.579998</v>
      </c>
    </row>
    <row r="171" spans="1:20" s="106" customFormat="1" ht="11.25" customHeight="1" x14ac:dyDescent="0.25">
      <c r="A171" s="128" t="s">
        <v>225</v>
      </c>
      <c r="B171" s="128"/>
      <c r="C171" s="128"/>
      <c r="D171" s="128"/>
      <c r="E171" s="128"/>
      <c r="F171" s="128"/>
      <c r="G171" s="128"/>
      <c r="H171" s="128"/>
      <c r="I171" s="128"/>
      <c r="J171" s="105">
        <f t="shared" ref="J171:Q171" si="60">+J170+J117</f>
        <v>548423537395</v>
      </c>
      <c r="K171" s="105">
        <f t="shared" si="60"/>
        <v>10136140910.630001</v>
      </c>
      <c r="L171" s="105">
        <f t="shared" si="60"/>
        <v>10136140910.630001</v>
      </c>
      <c r="M171" s="105">
        <f t="shared" si="60"/>
        <v>548423537395</v>
      </c>
      <c r="N171" s="105">
        <f t="shared" si="60"/>
        <v>12671395070.41</v>
      </c>
      <c r="O171" s="101">
        <f t="shared" si="60"/>
        <v>378403073891.38</v>
      </c>
      <c r="P171" s="101">
        <f t="shared" si="60"/>
        <v>157349068433.21002</v>
      </c>
      <c r="Q171" s="101">
        <f t="shared" si="60"/>
        <v>330563448764.88</v>
      </c>
      <c r="R171" s="102">
        <f t="shared" si="57"/>
        <v>0.60275211807109752</v>
      </c>
      <c r="S171" s="101">
        <f>+S170+S117</f>
        <v>261047318406.16998</v>
      </c>
      <c r="T171" s="103">
        <f>+T170+T117</f>
        <v>260116300278.34998</v>
      </c>
    </row>
    <row r="172" spans="1:20" s="106" customFormat="1" ht="6.75" customHeight="1" x14ac:dyDescent="0.25">
      <c r="A172" s="107"/>
      <c r="B172" s="107"/>
      <c r="C172" s="107"/>
      <c r="D172" s="107"/>
      <c r="E172" s="107"/>
      <c r="F172" s="107"/>
      <c r="G172" s="107"/>
      <c r="H172" s="107"/>
      <c r="I172" s="107"/>
      <c r="J172" s="108"/>
      <c r="K172" s="108"/>
      <c r="L172" s="108"/>
      <c r="M172" s="108"/>
      <c r="N172" s="108"/>
      <c r="O172" s="108"/>
      <c r="P172" s="108"/>
      <c r="Q172" s="108"/>
      <c r="R172" s="109"/>
      <c r="S172" s="108"/>
      <c r="T172" s="108"/>
    </row>
    <row r="173" spans="1:20" s="106" customFormat="1" ht="25.5" customHeight="1" x14ac:dyDescent="0.25">
      <c r="A173" s="134" t="s">
        <v>230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</row>
    <row r="174" spans="1:20" s="106" customFormat="1" ht="6.75" customHeight="1" x14ac:dyDescent="0.25">
      <c r="A174" s="107"/>
      <c r="B174" s="107"/>
      <c r="C174" s="107"/>
      <c r="D174" s="107"/>
      <c r="E174" s="107"/>
      <c r="F174" s="107"/>
      <c r="G174" s="107"/>
      <c r="H174" s="107"/>
      <c r="I174" s="107"/>
      <c r="J174" s="108"/>
      <c r="K174" s="108"/>
      <c r="L174" s="108"/>
      <c r="M174" s="108"/>
      <c r="N174" s="108"/>
      <c r="O174" s="108"/>
      <c r="P174" s="108"/>
      <c r="Q174" s="108"/>
      <c r="R174" s="109"/>
      <c r="S174" s="108"/>
      <c r="T174" s="108"/>
    </row>
    <row r="175" spans="1:20" s="106" customFormat="1" ht="9" customHeight="1" x14ac:dyDescent="0.25">
      <c r="A175" s="106" t="s">
        <v>226</v>
      </c>
      <c r="E175" s="110"/>
      <c r="F175" s="111"/>
      <c r="G175" s="112"/>
      <c r="H175" s="113"/>
      <c r="I175" s="114"/>
      <c r="J175" s="114">
        <f>J171-548423537395</f>
        <v>0</v>
      </c>
      <c r="K175" s="114">
        <f>K171-L171</f>
        <v>0</v>
      </c>
      <c r="L175" s="114"/>
      <c r="M175" s="108"/>
      <c r="N175" s="115"/>
      <c r="O175" s="116"/>
      <c r="P175" s="115"/>
      <c r="Q175" s="117"/>
      <c r="R175" s="115"/>
      <c r="S175" s="118"/>
      <c r="T175" s="118"/>
    </row>
    <row r="176" spans="1:20" s="106" customFormat="1" ht="9" customHeight="1" x14ac:dyDescent="0.25">
      <c r="A176" s="106" t="s">
        <v>227</v>
      </c>
      <c r="E176" s="110"/>
      <c r="F176" s="111"/>
      <c r="G176" s="112"/>
      <c r="H176" s="113"/>
      <c r="I176" s="114"/>
      <c r="J176" s="114"/>
      <c r="K176" s="114"/>
      <c r="L176" s="114">
        <f>K171-L171</f>
        <v>0</v>
      </c>
      <c r="N176" s="118"/>
      <c r="O176" s="119"/>
      <c r="P176" s="115"/>
      <c r="Q176" s="116"/>
      <c r="R176" s="115"/>
    </row>
    <row r="177" spans="1:20" s="106" customFormat="1" ht="9" customHeight="1" x14ac:dyDescent="0.25">
      <c r="A177" s="106" t="s">
        <v>228</v>
      </c>
      <c r="E177" s="110"/>
      <c r="F177" s="111"/>
      <c r="G177" s="112"/>
      <c r="H177" s="113"/>
      <c r="I177" s="114"/>
      <c r="J177" s="114"/>
      <c r="K177" s="114"/>
      <c r="L177" s="120"/>
      <c r="M177" s="118"/>
      <c r="N177" s="115"/>
      <c r="O177" s="121"/>
      <c r="P177" s="115"/>
      <c r="Q177" s="116"/>
      <c r="R177" s="115"/>
    </row>
    <row r="178" spans="1:20" ht="15" customHeight="1" x14ac:dyDescent="0.25">
      <c r="A178" s="106" t="s">
        <v>229</v>
      </c>
      <c r="B178" s="106"/>
      <c r="C178" s="106"/>
      <c r="D178" s="106"/>
      <c r="E178" s="110"/>
      <c r="F178" s="111"/>
      <c r="G178" s="112"/>
      <c r="H178" s="113"/>
      <c r="I178" s="114"/>
      <c r="J178" s="114"/>
      <c r="K178" s="114"/>
      <c r="L178" s="114"/>
      <c r="M178" s="106"/>
      <c r="N178" s="118"/>
      <c r="O178" s="119"/>
      <c r="P178" s="115"/>
      <c r="Q178" s="116"/>
      <c r="R178" s="115"/>
      <c r="S178" s="106"/>
      <c r="T178" s="106"/>
    </row>
    <row r="179" spans="1:20" ht="15" customHeight="1" x14ac:dyDescent="0.25">
      <c r="L179" s="122"/>
    </row>
    <row r="180" spans="1:20" x14ac:dyDescent="0.25"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</row>
  </sheetData>
  <mergeCells count="15">
    <mergeCell ref="J180:T180"/>
    <mergeCell ref="A173:T173"/>
    <mergeCell ref="A1:F1"/>
    <mergeCell ref="A2:T2"/>
    <mergeCell ref="A34:I34"/>
    <mergeCell ref="A35:T35"/>
    <mergeCell ref="A88:I88"/>
    <mergeCell ref="A118:T118"/>
    <mergeCell ref="A170:I170"/>
    <mergeCell ref="A171:I171"/>
    <mergeCell ref="A89:T89"/>
    <mergeCell ref="A101:I101"/>
    <mergeCell ref="A102:T102"/>
    <mergeCell ref="A113:I113"/>
    <mergeCell ref="A117:I117"/>
  </mergeCells>
  <pageMargins left="0.98402777777777795" right="0" top="1.1812499999999999" bottom="0.905555555555556" header="0.39374999999999999" footer="0.511811023622047"/>
  <pageSetup paperSize="9" scale="80" orientation="landscape" horizontalDpi="300" verticalDpi="300" r:id="rId1"/>
  <headerFooter>
    <oddHeader>&amp;CINSTITUTO NACIONAL DE MEDICINAL LEGAL Y CIENCIAS FORENSES
SUBDIRECCION ADMINISTRATIVA Y FINANCIERA
EJECUCION PRESUPUESTAL A AGOSTO 31-2026</oddHeader>
  </headerFooter>
  <ignoredErrors>
    <ignoredError sqref="M18 M26:P26 N45 M95 R95 P98 P105:P109 R115:R117 M166:Q166 M160:Q163 R91:R94 P92 N103 N112 M123 P123 M127 P127 M138 P138 M142 P142 J148:Q148 M151:Q151 M157 P157 R100:R101 R98 S148:T148 R108:R109 R103:R107 R110:R114 R154:R166 R127:R129 P129 M129 R147:R151 M154 P154 R119:R123 R133:R134 R138 R142 R168:R171 R87 R86 R88 R3:R4 R18 R26 R33:R34 R36 R45:R46" formula="1"/>
    <ignoredError sqref="N18:O18" formulaRange="1"/>
    <ignoredError sqref="P18:Q18" formula="1" formulaRange="1"/>
    <ignoredError sqref="B3:F27 B28:F32 B33 B36:F49 B50:F72 B73:F85 H81:I85 H78:I79 I69:I77 I60:I68 I53:I59 I50:I51 I4 B86:B87 B90:E100 I96:I97 F96:F97 B103:E112 I103:I107 B121:E123 B124:E169 F159:F162 I33 I111 F122 F124 F125:F126 F131:F132 F135:F137 F139:F141 F143 F144:F146 F150 F152:F153 F155:F156 I23:I31 I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AGOSTO-31-2026</vt:lpstr>
      <vt:lpstr>'AGOSTO-31-2026'!Área_de_impresión</vt:lpstr>
      <vt:lpstr>'AGOSTO-31-2026'!Títulos_a_imprimir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Cecilia Florez Giraldo</dc:creator>
  <dc:description/>
  <cp:lastModifiedBy>Cesar Augusto Acuña Reyes</cp:lastModifiedBy>
  <cp:revision>0</cp:revision>
  <cp:lastPrinted>2024-07-03T16:25:42Z</cp:lastPrinted>
  <dcterms:created xsi:type="dcterms:W3CDTF">2026-09-07T02:07:00Z</dcterms:created>
  <dcterms:modified xsi:type="dcterms:W3CDTF">2026-09-15T14:28:30Z</dcterms:modified>
  <dc:language>en-US</dc:language>
</cp:coreProperties>
</file>