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Octubre/"/>
    </mc:Choice>
  </mc:AlternateContent>
  <xr:revisionPtr revIDLastSave="0" documentId="8_{B8C6B26E-35E4-4A03-9DCE-CBD34332C7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CTUBRE 31-2025" sheetId="11" r:id="rId1"/>
  </sheets>
  <externalReferences>
    <externalReference r:id="rId2"/>
    <externalReference r:id="rId3"/>
  </externalReferences>
  <definedNames>
    <definedName name="_xlnm._FilterDatabase" localSheetId="0" hidden="1">'OCTUBRE 31-2025'!$A$1:$IY$189</definedName>
    <definedName name="_xlnm.Print_Area" localSheetId="0">'OCTUBRE 31-2025'!$A$1:$T$189</definedName>
    <definedName name="_xlnm.Print_Titles" localSheetId="0">'OCTUBRE 31-2025'!$1:$1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11" l="1"/>
  <c r="N36" i="11"/>
  <c r="N18" i="11"/>
  <c r="N4" i="11"/>
  <c r="M5" i="11"/>
  <c r="M164" i="11"/>
  <c r="M161" i="11"/>
  <c r="N91" i="11"/>
  <c r="L73" i="11"/>
  <c r="N3" i="11" l="1"/>
  <c r="N33" i="11" s="1"/>
  <c r="L82" i="11" l="1"/>
  <c r="K38" i="11"/>
  <c r="T114" i="11" l="1"/>
  <c r="T107" i="11" s="1"/>
  <c r="T118" i="11" s="1"/>
  <c r="S114" i="11"/>
  <c r="S107" i="11" s="1"/>
  <c r="S118" i="11" s="1"/>
  <c r="Q114" i="11"/>
  <c r="O114" i="11"/>
  <c r="O107" i="11" s="1"/>
  <c r="O118" i="11" s="1"/>
  <c r="N114" i="11"/>
  <c r="L114" i="11"/>
  <c r="K114" i="11"/>
  <c r="K107" i="11" s="1"/>
  <c r="K118" i="11" s="1"/>
  <c r="Q113" i="11"/>
  <c r="O113" i="11"/>
  <c r="N113" i="11"/>
  <c r="M113" i="11"/>
  <c r="L113" i="11"/>
  <c r="K113" i="11"/>
  <c r="J114" i="11"/>
  <c r="J107" i="11" s="1"/>
  <c r="J118" i="11" s="1"/>
  <c r="J113" i="11"/>
  <c r="T113" i="11"/>
  <c r="S113" i="11"/>
  <c r="M115" i="11"/>
  <c r="R115" i="11" s="1"/>
  <c r="M116" i="11"/>
  <c r="P116" i="11" s="1"/>
  <c r="P114" i="11" s="1"/>
  <c r="O46" i="11"/>
  <c r="L107" i="11"/>
  <c r="T111" i="11"/>
  <c r="S111" i="11"/>
  <c r="Q111" i="11"/>
  <c r="O111" i="11"/>
  <c r="N111" i="11"/>
  <c r="L111" i="11"/>
  <c r="K111" i="11"/>
  <c r="J111" i="11"/>
  <c r="M114" i="11" l="1"/>
  <c r="R114" i="11"/>
  <c r="R116" i="11"/>
  <c r="P115" i="11"/>
  <c r="P113" i="11" s="1"/>
  <c r="Q107" i="11"/>
  <c r="Q118" i="11" s="1"/>
  <c r="P107" i="11"/>
  <c r="P118" i="11" s="1"/>
  <c r="M107" i="11"/>
  <c r="M118" i="11" s="1"/>
  <c r="K86" i="11"/>
  <c r="K82" i="11"/>
  <c r="K85" i="11" l="1"/>
  <c r="K81" i="11"/>
  <c r="L79" i="11"/>
  <c r="K79" i="11"/>
  <c r="L64" i="11"/>
  <c r="K64" i="11"/>
  <c r="L38" i="11"/>
  <c r="K84" i="11"/>
  <c r="L44" i="11"/>
  <c r="K87" i="11"/>
  <c r="K59" i="11"/>
  <c r="L55" i="11"/>
  <c r="L59" i="11"/>
  <c r="K56" i="11"/>
  <c r="K66" i="11"/>
  <c r="K40" i="11"/>
  <c r="K58" i="11"/>
  <c r="L53" i="11"/>
  <c r="L41" i="11"/>
  <c r="K69" i="11"/>
  <c r="L84" i="11"/>
  <c r="L80" i="11"/>
  <c r="L63" i="11"/>
  <c r="L57" i="11"/>
  <c r="L51" i="11"/>
  <c r="L37" i="11"/>
  <c r="L83" i="11"/>
  <c r="K43" i="11"/>
  <c r="L43" i="11"/>
  <c r="K68" i="11"/>
  <c r="K61" i="11"/>
  <c r="K52" i="11"/>
  <c r="K42" i="11"/>
  <c r="K100" i="11"/>
  <c r="L99" i="11"/>
  <c r="K57" i="11"/>
  <c r="K63" i="11"/>
  <c r="K55" i="11"/>
  <c r="T36" i="11"/>
  <c r="S36" i="11"/>
  <c r="Q36" i="11"/>
  <c r="O36" i="11"/>
  <c r="K45" i="11"/>
  <c r="K44" i="11"/>
  <c r="L81" i="11"/>
  <c r="K67" i="11"/>
  <c r="L39" i="11"/>
  <c r="M112" i="11"/>
  <c r="M111" i="11" s="1"/>
  <c r="M109" i="11"/>
  <c r="O162" i="11"/>
  <c r="M44" i="11" l="1"/>
  <c r="Q46" i="11"/>
  <c r="Q177" i="11"/>
  <c r="P44" i="11" l="1"/>
  <c r="R44" i="11"/>
  <c r="O88" i="11"/>
  <c r="T101" i="11"/>
  <c r="S101" i="11"/>
  <c r="Q101" i="11"/>
  <c r="O101" i="11"/>
  <c r="N101" i="11"/>
  <c r="L101" i="11"/>
  <c r="K101" i="11"/>
  <c r="Q94" i="11"/>
  <c r="Q93" i="11" s="1"/>
  <c r="R112" i="11"/>
  <c r="S108" i="11"/>
  <c r="P112" i="11"/>
  <c r="P111" i="11" s="1"/>
  <c r="S165" i="11"/>
  <c r="T165" i="11"/>
  <c r="L87" i="11" l="1"/>
  <c r="M87" i="11" s="1"/>
  <c r="L70" i="11"/>
  <c r="L76" i="11"/>
  <c r="L61" i="11"/>
  <c r="K54" i="11"/>
  <c r="K37" i="11"/>
  <c r="K99" i="11"/>
  <c r="L66" i="11"/>
  <c r="K53" i="11"/>
  <c r="K83" i="11"/>
  <c r="L68" i="11"/>
  <c r="T46" i="11"/>
  <c r="S46" i="11"/>
  <c r="P187" i="11"/>
  <c r="P164" i="11"/>
  <c r="M133" i="11"/>
  <c r="M134" i="11"/>
  <c r="M135" i="11"/>
  <c r="M51" i="11" l="1"/>
  <c r="L52" i="11"/>
  <c r="M53" i="11"/>
  <c r="L54" i="11"/>
  <c r="M54" i="11" s="1"/>
  <c r="M55" i="11"/>
  <c r="L56" i="11"/>
  <c r="M56" i="11" s="1"/>
  <c r="M57" i="11"/>
  <c r="L58" i="11"/>
  <c r="M58" i="11" s="1"/>
  <c r="M59" i="11"/>
  <c r="K60" i="11"/>
  <c r="L60" i="11"/>
  <c r="M61" i="11"/>
  <c r="K62" i="11"/>
  <c r="M62" i="11" s="1"/>
  <c r="M63" i="11"/>
  <c r="K65" i="11"/>
  <c r="L65" i="11"/>
  <c r="M66" i="11"/>
  <c r="L67" i="11"/>
  <c r="M68" i="11"/>
  <c r="M69" i="11"/>
  <c r="K70" i="11"/>
  <c r="M70" i="11"/>
  <c r="M71" i="11"/>
  <c r="M72" i="11"/>
  <c r="K73" i="11"/>
  <c r="M73" i="11" s="1"/>
  <c r="M74" i="11"/>
  <c r="M75" i="11"/>
  <c r="M76" i="11"/>
  <c r="M77" i="11"/>
  <c r="K78" i="11"/>
  <c r="M78" i="11" s="1"/>
  <c r="M79" i="11"/>
  <c r="K80" i="11"/>
  <c r="M80" i="11" s="1"/>
  <c r="M81" i="11"/>
  <c r="N81" i="11" s="1"/>
  <c r="N46" i="11" s="1"/>
  <c r="M82" i="11"/>
  <c r="M83" i="11"/>
  <c r="M84" i="11"/>
  <c r="L85" i="11"/>
  <c r="M85" i="11" s="1"/>
  <c r="M86" i="11"/>
  <c r="M50" i="11"/>
  <c r="J46" i="11"/>
  <c r="M52" i="11" l="1"/>
  <c r="L46" i="11"/>
  <c r="M65" i="11"/>
  <c r="M60" i="11"/>
  <c r="M67" i="11"/>
  <c r="M64" i="11"/>
  <c r="R51" i="11"/>
  <c r="P51" i="11"/>
  <c r="R50" i="11"/>
  <c r="P50" i="11"/>
  <c r="K39" i="11"/>
  <c r="K49" i="11"/>
  <c r="K46" i="11" s="1"/>
  <c r="L47" i="11"/>
  <c r="L42" i="11"/>
  <c r="K41" i="11"/>
  <c r="K36" i="11" l="1"/>
  <c r="L36" i="11"/>
  <c r="L88" i="11" s="1"/>
  <c r="M49" i="11"/>
  <c r="M46" i="11" s="1"/>
  <c r="R49" i="11" l="1"/>
  <c r="P49" i="11"/>
  <c r="T47" i="11" l="1"/>
  <c r="S47" i="11"/>
  <c r="Q47" i="11"/>
  <c r="O47" i="11"/>
  <c r="N47" i="11"/>
  <c r="K47" i="11"/>
  <c r="K89" i="11" s="1"/>
  <c r="J47" i="11"/>
  <c r="J89" i="11" s="1"/>
  <c r="P86" i="11"/>
  <c r="K88" i="11"/>
  <c r="K91" i="11" l="1"/>
  <c r="R86" i="11"/>
  <c r="T48" i="11"/>
  <c r="P55" i="11"/>
  <c r="R65" i="11"/>
  <c r="O130" i="11"/>
  <c r="O48" i="11"/>
  <c r="P65" i="11" l="1"/>
  <c r="R169" i="11"/>
  <c r="R164" i="11"/>
  <c r="R102" i="11"/>
  <c r="R101" i="11"/>
  <c r="R95" i="11"/>
  <c r="R64" i="11"/>
  <c r="R45" i="11"/>
  <c r="T132" i="11"/>
  <c r="S132" i="11"/>
  <c r="Q132" i="11"/>
  <c r="O132" i="11"/>
  <c r="O144" i="11" l="1"/>
  <c r="O145" i="11"/>
  <c r="R54" i="11"/>
  <c r="R56" i="11"/>
  <c r="R58" i="11"/>
  <c r="R59" i="11"/>
  <c r="R60" i="11"/>
  <c r="R61" i="11"/>
  <c r="R62" i="11"/>
  <c r="R63" i="11"/>
  <c r="P64" i="11"/>
  <c r="R66" i="11"/>
  <c r="R69" i="11"/>
  <c r="R70" i="11"/>
  <c r="R71" i="11"/>
  <c r="R72" i="11"/>
  <c r="R76" i="11"/>
  <c r="R77" i="11"/>
  <c r="R81" i="11"/>
  <c r="R84" i="11"/>
  <c r="R85" i="11"/>
  <c r="R87" i="11"/>
  <c r="R53" i="11"/>
  <c r="R57" i="11"/>
  <c r="R79" i="11"/>
  <c r="R55" i="11"/>
  <c r="R67" i="11"/>
  <c r="J36" i="11"/>
  <c r="J88" i="11" s="1"/>
  <c r="M45" i="11"/>
  <c r="R73" i="11"/>
  <c r="T168" i="11"/>
  <c r="S168" i="11"/>
  <c r="Q168" i="11"/>
  <c r="R168" i="11" s="1"/>
  <c r="O168" i="11"/>
  <c r="N168" i="11"/>
  <c r="L168" i="11"/>
  <c r="K168" i="11"/>
  <c r="J168" i="11"/>
  <c r="O170" i="11"/>
  <c r="O165" i="11"/>
  <c r="O160" i="11"/>
  <c r="R78" i="11"/>
  <c r="N94" i="11"/>
  <c r="N93" i="11" s="1"/>
  <c r="J140" i="11"/>
  <c r="R83" i="11" l="1"/>
  <c r="M47" i="11"/>
  <c r="R74" i="11"/>
  <c r="P52" i="11"/>
  <c r="R52" i="11"/>
  <c r="M48" i="11"/>
  <c r="R75" i="11"/>
  <c r="R82" i="11"/>
  <c r="R68" i="11"/>
  <c r="P68" i="11"/>
  <c r="R80" i="11"/>
  <c r="P45" i="11"/>
  <c r="J160" i="11"/>
  <c r="T144" i="11"/>
  <c r="S144" i="11"/>
  <c r="Q144" i="11"/>
  <c r="N144" i="11"/>
  <c r="L144" i="11"/>
  <c r="K144" i="11"/>
  <c r="J144" i="11"/>
  <c r="J108" i="11"/>
  <c r="T145" i="11"/>
  <c r="S145" i="11"/>
  <c r="Q145" i="11"/>
  <c r="N145" i="11"/>
  <c r="L145" i="11"/>
  <c r="K145" i="11"/>
  <c r="J145" i="11"/>
  <c r="T94" i="11"/>
  <c r="T93" i="11" s="1"/>
  <c r="S94" i="11"/>
  <c r="S93" i="11" s="1"/>
  <c r="R94" i="11"/>
  <c r="O94" i="11"/>
  <c r="O93" i="11" s="1"/>
  <c r="L94" i="11"/>
  <c r="K94" i="11"/>
  <c r="J94" i="11"/>
  <c r="J93" i="11" s="1"/>
  <c r="J177" i="11"/>
  <c r="Q162" i="11"/>
  <c r="M179" i="11"/>
  <c r="M178" i="11"/>
  <c r="T177" i="11"/>
  <c r="S177" i="11"/>
  <c r="O177" i="11"/>
  <c r="L174" i="11"/>
  <c r="K174" i="11"/>
  <c r="K177" i="11"/>
  <c r="L177" i="11"/>
  <c r="M110" i="11"/>
  <c r="R110" i="11" s="1"/>
  <c r="M129" i="11"/>
  <c r="L108" i="11"/>
  <c r="L106" i="11" s="1"/>
  <c r="J106" i="11" l="1"/>
  <c r="J117" i="11" s="1"/>
  <c r="M108" i="11"/>
  <c r="M106" i="11" s="1"/>
  <c r="M117" i="11" s="1"/>
  <c r="M119" i="11" s="1"/>
  <c r="P179" i="11"/>
  <c r="R179" i="11"/>
  <c r="R46" i="11"/>
  <c r="P178" i="11"/>
  <c r="R178" i="11"/>
  <c r="M128" i="11"/>
  <c r="R129" i="11"/>
  <c r="P109" i="11"/>
  <c r="R109" i="11"/>
  <c r="M146" i="11"/>
  <c r="R146" i="11" s="1"/>
  <c r="M147" i="11"/>
  <c r="S130" i="11"/>
  <c r="T130" i="11"/>
  <c r="P147" i="11" l="1"/>
  <c r="R147" i="11"/>
  <c r="M144" i="11"/>
  <c r="R144" i="11" s="1"/>
  <c r="P146" i="11"/>
  <c r="P144" i="11" l="1"/>
  <c r="J101" i="11"/>
  <c r="M101" i="11" s="1"/>
  <c r="J98" i="11"/>
  <c r="M40" i="11" l="1"/>
  <c r="P40" i="11" l="1"/>
  <c r="R40" i="11"/>
  <c r="P61" i="11"/>
  <c r="P69" i="11"/>
  <c r="P77" i="11" l="1"/>
  <c r="P78" i="11" l="1"/>
  <c r="Q88" i="11" l="1"/>
  <c r="M41" i="11"/>
  <c r="J97" i="11"/>
  <c r="J96" i="11" s="1"/>
  <c r="J103" i="11" s="1"/>
  <c r="J104" i="11" s="1"/>
  <c r="T26" i="11"/>
  <c r="T18" i="11"/>
  <c r="T4" i="11"/>
  <c r="P41" i="11" l="1"/>
  <c r="R41" i="11"/>
  <c r="S88" i="11"/>
  <c r="T3" i="11"/>
  <c r="R5" i="11" l="1"/>
  <c r="M6" i="11"/>
  <c r="R6" i="11" s="1"/>
  <c r="M7" i="11"/>
  <c r="R7" i="11" s="1"/>
  <c r="M8" i="11"/>
  <c r="R8" i="11" s="1"/>
  <c r="M9" i="11"/>
  <c r="R9" i="11" s="1"/>
  <c r="M10" i="11"/>
  <c r="R10" i="11" s="1"/>
  <c r="M11" i="11"/>
  <c r="R11" i="11" s="1"/>
  <c r="M12" i="11"/>
  <c r="R12" i="11" s="1"/>
  <c r="M13" i="11"/>
  <c r="R13" i="11" s="1"/>
  <c r="M14" i="11"/>
  <c r="R14" i="11" s="1"/>
  <c r="M15" i="11"/>
  <c r="R15" i="11" s="1"/>
  <c r="M16" i="11"/>
  <c r="R16" i="11" s="1"/>
  <c r="M17" i="11"/>
  <c r="R17" i="11" s="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M28" i="11"/>
  <c r="M29" i="11"/>
  <c r="M30" i="11"/>
  <c r="M31" i="11"/>
  <c r="M32" i="11"/>
  <c r="M37" i="11"/>
  <c r="M38" i="11"/>
  <c r="M42" i="11"/>
  <c r="M43" i="11"/>
  <c r="R43" i="11" s="1"/>
  <c r="J132" i="11"/>
  <c r="J153" i="11"/>
  <c r="J149" i="11"/>
  <c r="N177" i="11"/>
  <c r="T174" i="11"/>
  <c r="S174" i="11"/>
  <c r="Q174" i="11"/>
  <c r="O174" i="11"/>
  <c r="N174" i="11"/>
  <c r="J174" i="11"/>
  <c r="T172" i="11"/>
  <c r="S172" i="11"/>
  <c r="Q172" i="11"/>
  <c r="O172" i="11"/>
  <c r="N172" i="11"/>
  <c r="L172" i="11"/>
  <c r="K172" i="11"/>
  <c r="J172" i="11"/>
  <c r="T170" i="11"/>
  <c r="S170" i="11"/>
  <c r="Q170" i="11"/>
  <c r="N170" i="11"/>
  <c r="L170" i="11"/>
  <c r="K170" i="11"/>
  <c r="J170" i="11"/>
  <c r="Q165" i="11"/>
  <c r="N165" i="11"/>
  <c r="L165" i="11"/>
  <c r="K165" i="11"/>
  <c r="J165" i="11"/>
  <c r="T162" i="11"/>
  <c r="S162" i="11"/>
  <c r="N162" i="11"/>
  <c r="L162" i="11"/>
  <c r="K162" i="11"/>
  <c r="J162" i="11"/>
  <c r="T160" i="11"/>
  <c r="S160" i="11"/>
  <c r="Q160" i="11"/>
  <c r="N160" i="11"/>
  <c r="L160" i="11"/>
  <c r="K160" i="11"/>
  <c r="T153" i="11"/>
  <c r="S153" i="11"/>
  <c r="Q153" i="11"/>
  <c r="O153" i="11"/>
  <c r="N153" i="11"/>
  <c r="L153" i="11"/>
  <c r="K153" i="11"/>
  <c r="K149" i="11"/>
  <c r="T149" i="11"/>
  <c r="S149" i="11"/>
  <c r="Q149" i="11"/>
  <c r="O149" i="11"/>
  <c r="N149" i="11"/>
  <c r="L149" i="11"/>
  <c r="L140" i="11"/>
  <c r="K140" i="11"/>
  <c r="T140" i="11"/>
  <c r="S140" i="11"/>
  <c r="Q140" i="11"/>
  <c r="O140" i="11"/>
  <c r="N140" i="11"/>
  <c r="T137" i="11"/>
  <c r="T127" i="11" s="1"/>
  <c r="S137" i="11"/>
  <c r="S127" i="11" s="1"/>
  <c r="Q137" i="11"/>
  <c r="O137" i="11"/>
  <c r="O127" i="11" s="1"/>
  <c r="N137" i="11"/>
  <c r="N127" i="11" s="1"/>
  <c r="L137" i="11"/>
  <c r="L127" i="11" s="1"/>
  <c r="K137" i="11"/>
  <c r="K127" i="11" s="1"/>
  <c r="J137" i="11"/>
  <c r="J127" i="11" s="1"/>
  <c r="T136" i="11"/>
  <c r="S136" i="11"/>
  <c r="Q136" i="11"/>
  <c r="O136" i="11"/>
  <c r="N136" i="11"/>
  <c r="L136" i="11"/>
  <c r="K136" i="11"/>
  <c r="J136" i="11"/>
  <c r="N132" i="11"/>
  <c r="L132" i="11"/>
  <c r="K132" i="11"/>
  <c r="J130" i="11"/>
  <c r="T128" i="11"/>
  <c r="S128" i="11"/>
  <c r="Q128" i="11"/>
  <c r="O128" i="11"/>
  <c r="J128" i="11"/>
  <c r="R38" i="11" l="1"/>
  <c r="Q159" i="11"/>
  <c r="Q158" i="11" s="1"/>
  <c r="R128" i="11"/>
  <c r="P32" i="11"/>
  <c r="R32" i="11"/>
  <c r="R29" i="11"/>
  <c r="P29" i="11"/>
  <c r="R28" i="11"/>
  <c r="P28" i="11"/>
  <c r="R31" i="11"/>
  <c r="P31" i="11"/>
  <c r="R30" i="11"/>
  <c r="P30" i="11"/>
  <c r="R27" i="11"/>
  <c r="P27" i="11"/>
  <c r="P42" i="11"/>
  <c r="R42" i="11"/>
  <c r="T126" i="11"/>
  <c r="R37" i="11"/>
  <c r="Q127" i="11"/>
  <c r="S126" i="11"/>
  <c r="O159" i="11"/>
  <c r="O158" i="11" s="1"/>
  <c r="J159" i="11"/>
  <c r="J158" i="11" s="1"/>
  <c r="J126" i="11"/>
  <c r="K159" i="11"/>
  <c r="K158" i="11" s="1"/>
  <c r="N159" i="11"/>
  <c r="N158" i="11" s="1"/>
  <c r="L159" i="11"/>
  <c r="L158" i="11" s="1"/>
  <c r="T159" i="11"/>
  <c r="T158" i="11" s="1"/>
  <c r="S159" i="11"/>
  <c r="S158" i="11" s="1"/>
  <c r="M39" i="11"/>
  <c r="R39" i="11" s="1"/>
  <c r="P53" i="11"/>
  <c r="L130" i="11"/>
  <c r="K130" i="11"/>
  <c r="Q130" i="11"/>
  <c r="Q126" i="11" s="1"/>
  <c r="Q181" i="11" s="1"/>
  <c r="O126" i="11"/>
  <c r="N130" i="11"/>
  <c r="N128" i="11"/>
  <c r="L128" i="11"/>
  <c r="K128" i="11"/>
  <c r="R161" i="11"/>
  <c r="M163" i="11"/>
  <c r="M162" i="11" s="1"/>
  <c r="M166" i="11"/>
  <c r="R166" i="11" s="1"/>
  <c r="M167" i="11"/>
  <c r="R167" i="11" s="1"/>
  <c r="M169" i="11"/>
  <c r="M168" i="11" s="1"/>
  <c r="M171" i="11"/>
  <c r="R171" i="11" s="1"/>
  <c r="M173" i="11"/>
  <c r="R173" i="11" s="1"/>
  <c r="M175" i="11"/>
  <c r="R175" i="11" s="1"/>
  <c r="M176" i="11"/>
  <c r="M180" i="11"/>
  <c r="R180" i="11" s="1"/>
  <c r="M131" i="11"/>
  <c r="R134" i="11"/>
  <c r="R135" i="11"/>
  <c r="M138" i="11"/>
  <c r="M139" i="11"/>
  <c r="R139" i="11" s="1"/>
  <c r="M141" i="11"/>
  <c r="R141" i="11" s="1"/>
  <c r="M142" i="11"/>
  <c r="R142" i="11" s="1"/>
  <c r="M143" i="11"/>
  <c r="R143" i="11" s="1"/>
  <c r="M148" i="11"/>
  <c r="M150" i="11"/>
  <c r="R150" i="11" s="1"/>
  <c r="M151" i="11"/>
  <c r="R151" i="11" s="1"/>
  <c r="M152" i="11"/>
  <c r="R152" i="11" s="1"/>
  <c r="M154" i="11"/>
  <c r="R154" i="11" s="1"/>
  <c r="M155" i="11"/>
  <c r="R155" i="11" s="1"/>
  <c r="M156" i="11"/>
  <c r="R156" i="11" s="1"/>
  <c r="M157" i="11"/>
  <c r="P110" i="11"/>
  <c r="M95" i="11"/>
  <c r="M99" i="11"/>
  <c r="M100" i="11"/>
  <c r="R100" i="11" s="1"/>
  <c r="M102" i="11"/>
  <c r="P84" i="11"/>
  <c r="R163" i="11" l="1"/>
  <c r="P157" i="11"/>
  <c r="R157" i="11"/>
  <c r="M36" i="11"/>
  <c r="M88" i="11" s="1"/>
  <c r="R162" i="11"/>
  <c r="R99" i="11"/>
  <c r="P99" i="11"/>
  <c r="M94" i="11"/>
  <c r="P95" i="11"/>
  <c r="P94" i="11" s="1"/>
  <c r="P93" i="11" s="1"/>
  <c r="N126" i="11"/>
  <c r="P26" i="11"/>
  <c r="O181" i="11"/>
  <c r="P176" i="11"/>
  <c r="R176" i="11"/>
  <c r="M130" i="11"/>
  <c r="R130" i="11" s="1"/>
  <c r="R131" i="11"/>
  <c r="M132" i="11"/>
  <c r="R132" i="11" s="1"/>
  <c r="R133" i="11"/>
  <c r="M136" i="11"/>
  <c r="R136" i="11" s="1"/>
  <c r="R138" i="11"/>
  <c r="M145" i="11"/>
  <c r="R145" i="11" s="1"/>
  <c r="R148" i="11"/>
  <c r="K126" i="11"/>
  <c r="L126" i="11"/>
  <c r="P180" i="11"/>
  <c r="P177" i="11" s="1"/>
  <c r="M177" i="11"/>
  <c r="R177" i="11" s="1"/>
  <c r="M174" i="11"/>
  <c r="R174" i="11" s="1"/>
  <c r="M153" i="11"/>
  <c r="R153" i="11" s="1"/>
  <c r="P175" i="11"/>
  <c r="M170" i="11"/>
  <c r="R170" i="11" s="1"/>
  <c r="P171" i="11"/>
  <c r="P131" i="11"/>
  <c r="P130" i="11" s="1"/>
  <c r="M160" i="11"/>
  <c r="P161" i="11"/>
  <c r="P160" i="11" s="1"/>
  <c r="P141" i="11"/>
  <c r="M137" i="11"/>
  <c r="R137" i="11" s="1"/>
  <c r="P139" i="11"/>
  <c r="P137" i="11" s="1"/>
  <c r="P142" i="11"/>
  <c r="M172" i="11"/>
  <c r="R172" i="11" s="1"/>
  <c r="M140" i="11"/>
  <c r="R140" i="11" s="1"/>
  <c r="M149" i="11"/>
  <c r="R149" i="11" s="1"/>
  <c r="M165" i="11"/>
  <c r="R165" i="11" s="1"/>
  <c r="P148" i="11"/>
  <c r="P145" i="11" s="1"/>
  <c r="K182" i="11"/>
  <c r="R160" i="11" l="1"/>
  <c r="M159" i="11"/>
  <c r="M158" i="11" s="1"/>
  <c r="R36" i="11"/>
  <c r="P127" i="11"/>
  <c r="M126" i="11"/>
  <c r="R126" i="11" s="1"/>
  <c r="M127" i="11"/>
  <c r="R159" i="11"/>
  <c r="T181" i="11"/>
  <c r="S181" i="11"/>
  <c r="J122" i="11"/>
  <c r="T182" i="11"/>
  <c r="S182" i="11"/>
  <c r="Q182" i="11"/>
  <c r="Q183" i="11" s="1"/>
  <c r="P167" i="11"/>
  <c r="P156" i="11"/>
  <c r="P155" i="11"/>
  <c r="P152" i="11"/>
  <c r="P151" i="11"/>
  <c r="P143" i="11"/>
  <c r="P140" i="11" s="1"/>
  <c r="P135" i="11"/>
  <c r="P134" i="11"/>
  <c r="P37" i="11"/>
  <c r="P38" i="11"/>
  <c r="P54" i="11"/>
  <c r="P56" i="11"/>
  <c r="P57" i="11"/>
  <c r="P58" i="11"/>
  <c r="P59" i="11"/>
  <c r="P60" i="11"/>
  <c r="P62" i="11"/>
  <c r="P63" i="11"/>
  <c r="P66" i="11"/>
  <c r="P67" i="11"/>
  <c r="P70" i="11"/>
  <c r="P71" i="11"/>
  <c r="P72" i="11"/>
  <c r="P73" i="11"/>
  <c r="P74" i="11"/>
  <c r="P47" i="11" s="1"/>
  <c r="P75" i="11"/>
  <c r="P48" i="11" s="1"/>
  <c r="P76" i="11"/>
  <c r="P79" i="11"/>
  <c r="P80" i="11"/>
  <c r="P81" i="11"/>
  <c r="P82" i="11"/>
  <c r="P83" i="11"/>
  <c r="P85" i="11"/>
  <c r="P87" i="11"/>
  <c r="P39" i="11"/>
  <c r="P43" i="11"/>
  <c r="L182" i="11"/>
  <c r="L118" i="11"/>
  <c r="L121" i="11" s="1"/>
  <c r="K121" i="11"/>
  <c r="L117" i="11"/>
  <c r="K108" i="11"/>
  <c r="L98" i="11"/>
  <c r="L97" i="11" s="1"/>
  <c r="L96" i="11" s="1"/>
  <c r="K98" i="11"/>
  <c r="K97" i="11" s="1"/>
  <c r="K96" i="11" s="1"/>
  <c r="L93" i="11"/>
  <c r="K93" i="11"/>
  <c r="L48" i="11"/>
  <c r="K48" i="11"/>
  <c r="L89" i="11"/>
  <c r="L26" i="11"/>
  <c r="K26" i="11"/>
  <c r="L18" i="11"/>
  <c r="K18" i="11"/>
  <c r="L4" i="11"/>
  <c r="K4" i="11"/>
  <c r="J182" i="11"/>
  <c r="J48" i="11"/>
  <c r="J26" i="11"/>
  <c r="J18" i="11"/>
  <c r="J4" i="11"/>
  <c r="O182" i="11"/>
  <c r="O183" i="11" s="1"/>
  <c r="K106" i="11" l="1"/>
  <c r="K117" i="11" s="1"/>
  <c r="K119" i="11" s="1"/>
  <c r="P36" i="11"/>
  <c r="P46" i="11"/>
  <c r="J90" i="11"/>
  <c r="J91" i="11" s="1"/>
  <c r="M182" i="11"/>
  <c r="R182" i="11" s="1"/>
  <c r="R127" i="11"/>
  <c r="R88" i="11"/>
  <c r="K122" i="11"/>
  <c r="K103" i="11"/>
  <c r="K104" i="11" s="1"/>
  <c r="S183" i="11"/>
  <c r="M98" i="11"/>
  <c r="L90" i="11"/>
  <c r="L91" i="11" s="1"/>
  <c r="L122" i="11"/>
  <c r="J181" i="11"/>
  <c r="J183" i="11" s="1"/>
  <c r="M4" i="11"/>
  <c r="L181" i="11"/>
  <c r="L183" i="11" s="1"/>
  <c r="K181" i="11"/>
  <c r="K183" i="11" s="1"/>
  <c r="L119" i="11"/>
  <c r="L103" i="11"/>
  <c r="L104" i="11" s="1"/>
  <c r="L3" i="11"/>
  <c r="L33" i="11" s="1"/>
  <c r="L34" i="11" s="1"/>
  <c r="K3" i="11"/>
  <c r="K33" i="11" s="1"/>
  <c r="K34" i="11" s="1"/>
  <c r="N181" i="11"/>
  <c r="J3" i="11"/>
  <c r="R47" i="11"/>
  <c r="Q48" i="11"/>
  <c r="R48" i="11" s="1"/>
  <c r="O89" i="11"/>
  <c r="M90" i="11"/>
  <c r="M93" i="11"/>
  <c r="P100" i="11"/>
  <c r="P102" i="11"/>
  <c r="P101" i="11" s="1"/>
  <c r="S26" i="11"/>
  <c r="Q26" i="11"/>
  <c r="O26" i="11"/>
  <c r="M26" i="11"/>
  <c r="S18" i="11"/>
  <c r="Q18" i="11"/>
  <c r="O18" i="11"/>
  <c r="M18" i="11"/>
  <c r="S4" i="11"/>
  <c r="Q4" i="11"/>
  <c r="O4" i="11"/>
  <c r="J121" i="11" l="1"/>
  <c r="J119" i="11"/>
  <c r="L120" i="11"/>
  <c r="K120" i="11"/>
  <c r="J123" i="11"/>
  <c r="M3" i="11"/>
  <c r="R18" i="11"/>
  <c r="R26" i="11"/>
  <c r="R4" i="11"/>
  <c r="J33" i="11"/>
  <c r="M97" i="11"/>
  <c r="L123" i="11"/>
  <c r="M89" i="11"/>
  <c r="M91" i="11" s="1"/>
  <c r="N89" i="11"/>
  <c r="N122" i="11" s="1"/>
  <c r="O122" i="11"/>
  <c r="Q89" i="11"/>
  <c r="S89" i="11"/>
  <c r="T89" i="11"/>
  <c r="M123" i="11"/>
  <c r="N90" i="11"/>
  <c r="N123" i="11" s="1"/>
  <c r="O90" i="11"/>
  <c r="O123" i="11" s="1"/>
  <c r="S48" i="11"/>
  <c r="S90" i="11" s="1"/>
  <c r="S123" i="11" s="1"/>
  <c r="T90" i="11"/>
  <c r="T123" i="11" s="1"/>
  <c r="P163" i="11"/>
  <c r="P162" i="11" s="1"/>
  <c r="P166" i="11"/>
  <c r="P165" i="11" s="1"/>
  <c r="P169" i="11"/>
  <c r="P168" i="11" s="1"/>
  <c r="P170" i="11"/>
  <c r="P173" i="11"/>
  <c r="P172" i="11" s="1"/>
  <c r="P174" i="11"/>
  <c r="P133" i="11"/>
  <c r="P132" i="11" s="1"/>
  <c r="P138" i="11"/>
  <c r="P136" i="11" s="1"/>
  <c r="P150" i="11"/>
  <c r="P149" i="11" s="1"/>
  <c r="P154" i="11"/>
  <c r="P153" i="11" s="1"/>
  <c r="P129" i="11"/>
  <c r="P128" i="11" s="1"/>
  <c r="Q108" i="11"/>
  <c r="R93" i="11"/>
  <c r="N103" i="11"/>
  <c r="Q98" i="11"/>
  <c r="O108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98" i="11"/>
  <c r="T108" i="11"/>
  <c r="O98" i="11"/>
  <c r="O97" i="11" s="1"/>
  <c r="O96" i="11" s="1"/>
  <c r="P19" i="11"/>
  <c r="P20" i="11"/>
  <c r="P21" i="11"/>
  <c r="P22" i="11"/>
  <c r="P23" i="11"/>
  <c r="P24" i="11"/>
  <c r="P25" i="11"/>
  <c r="N108" i="11"/>
  <c r="N98" i="11"/>
  <c r="S106" i="11"/>
  <c r="S117" i="11" s="1"/>
  <c r="S119" i="11" s="1"/>
  <c r="T98" i="11"/>
  <c r="T97" i="11" s="1"/>
  <c r="T96" i="11" s="1"/>
  <c r="S98" i="11"/>
  <c r="S97" i="11" s="1"/>
  <c r="S96" i="11" s="1"/>
  <c r="J34" i="11" l="1"/>
  <c r="J120" i="11"/>
  <c r="T106" i="11"/>
  <c r="T117" i="11" s="1"/>
  <c r="T119" i="11" s="1"/>
  <c r="N106" i="11"/>
  <c r="N117" i="11" s="1"/>
  <c r="O106" i="11"/>
  <c r="O117" i="11" s="1"/>
  <c r="O119" i="11" s="1"/>
  <c r="R108" i="11"/>
  <c r="N107" i="11"/>
  <c r="N118" i="11" s="1"/>
  <c r="N121" i="11" s="1"/>
  <c r="R89" i="11"/>
  <c r="Q97" i="11"/>
  <c r="R98" i="11"/>
  <c r="M122" i="11"/>
  <c r="P126" i="11"/>
  <c r="P159" i="11"/>
  <c r="P158" i="11" s="1"/>
  <c r="P108" i="11"/>
  <c r="O103" i="11"/>
  <c r="O104" i="11" s="1"/>
  <c r="P182" i="11"/>
  <c r="M96" i="11"/>
  <c r="L124" i="11"/>
  <c r="L184" i="11" s="1"/>
  <c r="T103" i="11"/>
  <c r="T104" i="11" s="1"/>
  <c r="S103" i="11"/>
  <c r="S104" i="11" s="1"/>
  <c r="P18" i="11"/>
  <c r="P4" i="11"/>
  <c r="T88" i="11"/>
  <c r="T91" i="11" s="1"/>
  <c r="P88" i="11"/>
  <c r="Q90" i="11"/>
  <c r="P90" i="11"/>
  <c r="P123" i="11" s="1"/>
  <c r="N183" i="11"/>
  <c r="O3" i="11"/>
  <c r="O33" i="11" s="1"/>
  <c r="O34" i="11" s="1"/>
  <c r="P97" i="11"/>
  <c r="P96" i="11" s="1"/>
  <c r="N34" i="11"/>
  <c r="O91" i="11"/>
  <c r="T33" i="11"/>
  <c r="S3" i="11"/>
  <c r="S33" i="11" s="1"/>
  <c r="S34" i="11" s="1"/>
  <c r="Q3" i="11"/>
  <c r="M33" i="11"/>
  <c r="T122" i="11"/>
  <c r="S122" i="11"/>
  <c r="N104" i="11"/>
  <c r="M121" i="11"/>
  <c r="P121" i="11"/>
  <c r="T121" i="11"/>
  <c r="Q122" i="11"/>
  <c r="Q106" i="11"/>
  <c r="Q117" i="11" s="1"/>
  <c r="Q119" i="11" s="1"/>
  <c r="N119" i="11" l="1"/>
  <c r="P106" i="11"/>
  <c r="P117" i="11" s="1"/>
  <c r="P119" i="11" s="1"/>
  <c r="S121" i="11"/>
  <c r="M34" i="11"/>
  <c r="R113" i="11"/>
  <c r="P103" i="11"/>
  <c r="P104" i="11" s="1"/>
  <c r="R122" i="11"/>
  <c r="R3" i="11"/>
  <c r="Q123" i="11"/>
  <c r="R123" i="11" s="1"/>
  <c r="R90" i="11"/>
  <c r="Q96" i="11"/>
  <c r="Q103" i="11" s="1"/>
  <c r="R97" i="11"/>
  <c r="P181" i="11"/>
  <c r="P183" i="11" s="1"/>
  <c r="P3" i="11"/>
  <c r="P33" i="11" s="1"/>
  <c r="P34" i="11" s="1"/>
  <c r="M103" i="11"/>
  <c r="M120" i="11" s="1"/>
  <c r="S91" i="11"/>
  <c r="S120" i="11"/>
  <c r="T34" i="11"/>
  <c r="T120" i="11"/>
  <c r="T124" i="11" s="1"/>
  <c r="J124" i="11"/>
  <c r="J184" i="11" s="1"/>
  <c r="R117" i="11"/>
  <c r="T183" i="11"/>
  <c r="Q91" i="11"/>
  <c r="R91" i="11" s="1"/>
  <c r="P89" i="11"/>
  <c r="P122" i="11" s="1"/>
  <c r="Q33" i="11"/>
  <c r="R107" i="11"/>
  <c r="N120" i="11"/>
  <c r="N124" i="11" s="1"/>
  <c r="N184" i="11" s="1"/>
  <c r="O121" i="11" l="1"/>
  <c r="O120" i="11"/>
  <c r="O124" i="11" s="1"/>
  <c r="O184" i="11" s="1"/>
  <c r="R33" i="11"/>
  <c r="Q120" i="11"/>
  <c r="R111" i="11"/>
  <c r="R106" i="11"/>
  <c r="R96" i="11"/>
  <c r="S124" i="11"/>
  <c r="S184" i="11" s="1"/>
  <c r="M104" i="11"/>
  <c r="P120" i="11"/>
  <c r="P124" i="11" s="1"/>
  <c r="P184" i="11" s="1"/>
  <c r="T184" i="11"/>
  <c r="Q34" i="11"/>
  <c r="R34" i="11" s="1"/>
  <c r="P91" i="11"/>
  <c r="R118" i="11"/>
  <c r="R120" i="11" l="1"/>
  <c r="R103" i="11"/>
  <c r="Q104" i="11"/>
  <c r="R104" i="11" s="1"/>
  <c r="M124" i="11"/>
  <c r="Q121" i="11"/>
  <c r="R121" i="11" s="1"/>
  <c r="R119" i="11"/>
  <c r="Q124" i="11" l="1"/>
  <c r="Q184" i="11" s="1"/>
  <c r="R158" i="11"/>
  <c r="R124" i="11" l="1"/>
  <c r="M181" i="11"/>
  <c r="M183" i="11" l="1"/>
  <c r="R181" i="11"/>
  <c r="M184" i="11" l="1"/>
  <c r="M186" i="11" s="1"/>
  <c r="R183" i="11"/>
  <c r="K123" i="11"/>
  <c r="K124" i="11" l="1"/>
  <c r="K184" i="11" s="1"/>
  <c r="R184" i="11"/>
</calcChain>
</file>

<file path=xl/sharedStrings.xml><?xml version="1.0" encoding="utf-8"?>
<sst xmlns="http://schemas.openxmlformats.org/spreadsheetml/2006/main" count="1243" uniqueCount="238">
  <si>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</si>
  <si>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</si>
  <si>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</si>
  <si>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</si>
  <si>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</si>
  <si>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</si>
  <si>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</si>
  <si>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</si>
  <si>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</si>
  <si>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</si>
  <si>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</si>
  <si>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</si>
  <si>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</si>
  <si>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</si>
  <si>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</si>
  <si>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</si>
  <si>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</si>
  <si>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</si>
  <si>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</si>
  <si>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</si>
  <si>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</si>
  <si>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</si>
  <si>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</si>
  <si>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</si>
  <si>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</si>
  <si>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</si>
  <si>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</si>
  <si>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</si>
  <si>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</si>
  <si>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</si>
  <si>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</si>
  <si>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</si>
  <si>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</si>
  <si>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</si>
  <si>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</si>
  <si>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</si>
  <si>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</si>
  <si>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</si>
  <si>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</si>
  <si>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</si>
  <si>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</si>
  <si>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</si>
  <si>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</si>
  <si>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</si>
  <si>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</si>
  <si>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</si>
  <si>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</si>
  <si>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</si>
  <si>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</si>
  <si>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</si>
  <si>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</si>
  <si>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</si>
  <si>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</si>
  <si>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</si>
  <si>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</si>
  <si>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</si>
  <si>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</si>
  <si>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</si>
  <si>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</si>
  <si>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</si>
  <si>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</si>
  <si>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</si>
  <si>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</si>
  <si>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</si>
  <si>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</si>
  <si>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</si>
  <si>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</si>
  <si>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</si>
  <si>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</si>
  <si>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</si>
  <si>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</si>
  <si>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</si>
  <si>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</si>
  <si>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</si>
  <si>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</si>
  <si>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</si>
  <si>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</si>
  <si>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</si>
  <si>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</si>
  <si>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</si>
  <si>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</si>
  <si>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</si>
  <si>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</si>
  <si>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</si>
  <si>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</si>
  <si>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</si>
  <si>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</si>
  <si>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</si>
  <si>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</si>
  <si>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</si>
  <si>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</si>
  <si>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</si>
  <si>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</si>
  <si>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</si>
  <si>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</si>
  <si>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</si>
  <si>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</si>
  <si>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</si>
  <si>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</si>
  <si>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</si>
  <si>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</si>
  <si>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</si>
  <si>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</si>
  <si>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</si>
  <si>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</si>
  <si>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</si>
  <si>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</si>
  <si>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</si>
  <si>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</si>
  <si>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</si>
  <si>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</si>
  <si>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</si>
  <si>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</si>
  <si>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</si>
  <si>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</si>
  <si>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</si>
  <si>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</si>
  <si>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</si>
  <si>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</si>
  <si>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</si>
  <si>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</si>
  <si>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</si>
  <si>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</si>
  <si>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</si>
  <si>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</si>
  <si>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</si>
  <si>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</si>
  <si>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</si>
  <si>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</si>
  <si>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</si>
  <si>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</si>
  <si>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</si>
  <si>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</si>
  <si>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</si>
  <si>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</si>
  <si>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</si>
  <si>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</si>
  <si>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</si>
  <si>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</si>
  <si>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</si>
  <si>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</si>
  <si>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</si>
  <si>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</si>
  <si>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</si>
  <si>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</si>
  <si>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</si>
  <si>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</si>
  <si>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</si>
  <si>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</si>
  <si>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</si>
  <si>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</si>
  <si>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</si>
  <si>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</si>
  <si>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</si>
  <si>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</si>
  <si>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</si>
  <si>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</si>
  <si>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</si>
  <si>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</si>
  <si>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</si>
  <si>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</si>
  <si>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</si>
  <si>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</si>
  <si>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</si>
  <si>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</si>
  <si>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</si>
  <si>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</si>
  <si>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</si>
  <si>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</si>
  <si>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</si>
  <si>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</si>
  <si>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</si>
  <si>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</si>
  <si>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</si>
  <si>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</si>
  <si>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</si>
  <si>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</si>
  <si>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</si>
  <si>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</si>
  <si>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</si>
  <si>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</si>
  <si>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</si>
  <si>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</si>
  <si>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</si>
  <si>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</si>
  <si>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</si>
  <si>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</si>
  <si>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</si>
  <si>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</si>
  <si>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</si>
  <si>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</si>
  <si>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</si>
  <si>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</si>
  <si>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</si>
  <si>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</si>
  <si>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</si>
  <si>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</si>
  <si>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</si>
  <si>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</si>
  <si>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</si>
  <si>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</si>
  <si>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</si>
  <si>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</si>
  <si>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</si>
  <si>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</si>
  <si>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</si>
  <si>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</si>
  <si>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</si>
  <si>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</si>
  <si>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</si>
  <si>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</si>
  <si>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</si>
  <si>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</si>
  <si>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</si>
  <si>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</si>
  <si>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</si>
  <si>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</si>
  <si>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</si>
  <si>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</si>
  <si>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</si>
  <si>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</si>
  <si>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</si>
  <si>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</si>
  <si>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</si>
  <si>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</si>
  <si>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</si>
  <si>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</si>
  <si>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</si>
  <si>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</si>
  <si>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</si>
  <si>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</si>
  <si>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</si>
  <si>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</si>
  <si>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PIEDRA ARENA Y ARCILLA</t>
  </si>
  <si>
    <t xml:space="preserve"> </t>
  </si>
  <si>
    <t>ESTAMPILLAS</t>
  </si>
  <si>
    <t>EQUIPO MILITAR Y POLICÍA</t>
  </si>
  <si>
    <t>Fecha: noviembre10-2025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</si>
</sst>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sz val="9"/>
      <name val="Calibri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164" fontId="24" fillId="4" borderId="0" xfId="1" applyFont="1" applyFill="1" applyBorder="1"/>
    <xf numFmtId="164" fontId="5" fillId="4" borderId="0" xfId="1" applyFont="1" applyFill="1" applyBorder="1"/>
    <xf numFmtId="164" fontId="25" fillId="3" borderId="1" xfId="1" applyFont="1" applyFill="1" applyBorder="1" applyAlignment="1">
      <alignment horizontal="right" vertical="center" wrapText="1" readingOrder="1"/>
    </xf>
    <xf numFmtId="43" fontId="7" fillId="0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RES-2025%20-OCTUBRE-28-2025\INFORMES%20DE%20EJECUCION%202025\OCTUBRE-31-2025\DESAGREGADO%2031%20DE%20OCTUBRE%202025.xlsx" TargetMode="External"/><Relationship Id="rId1" Type="http://schemas.openxmlformats.org/officeDocument/2006/relationships/externalLinkPath" Target="file:///C:\Users\CesarAugustoAcu&#241;aRey\Downloads\DESAGREGADO%2031%20DE%20OCTUBRE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RES-2025%20-OCTUBRE-28-2025\INFORMES%20DE%20EJECUCION%202025\OCTUBRE-31-2025\DECRETO%2031%20DE%20OCTUBRE.xlsx" TargetMode="External"/><Relationship Id="rId1" Type="http://schemas.openxmlformats.org/officeDocument/2006/relationships/externalLinkPath" Target="file:///C:\Users\CesarAugustoAcu&#241;aRey\Downloads\DECRETO%2031%20DE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</sheetNames>
    <sheetDataSet>
      <sheetData sheetId="0">
        <row r="72">
          <cell r="T72">
            <v>21654389532.849998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</sheetNames>
    <sheetDataSet>
      <sheetData sheetId="0">
        <row r="36">
          <cell r="S36">
            <v>510848560000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2"/>
  <sheetViews>
    <sheetView showGridLines="0" tabSelected="1" topLeftCell="G1" zoomScale="140" zoomScaleNormal="140" workbookViewId="0">
      <pane ySplit="1" topLeftCell="A109" activePane="bottomLeft" state="frozen"/>
      <selection pane="bottomLeft" activeCell="M187" sqref="M187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7" t="s">
        <v>234</v>
      </c>
      <c r="B1" s="128"/>
      <c r="C1" s="128"/>
      <c r="D1" s="128"/>
      <c r="E1" s="128"/>
      <c r="F1" s="129"/>
      <c r="G1" s="87" t="s">
        <v>0</v>
      </c>
      <c r="H1" s="87" t="s">
        <v>1</v>
      </c>
      <c r="I1" s="87" t="s">
        <v>2</v>
      </c>
      <c r="J1" s="97" t="s">
        <v>144</v>
      </c>
      <c r="K1" s="97" t="s">
        <v>145</v>
      </c>
      <c r="L1" s="97" t="s">
        <v>146</v>
      </c>
      <c r="M1" s="87" t="s">
        <v>33</v>
      </c>
      <c r="N1" s="87" t="s">
        <v>230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6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7650000000</v>
      </c>
      <c r="L3" s="103">
        <f t="shared" si="0"/>
        <v>500000000</v>
      </c>
      <c r="M3" s="103">
        <f>M4+M18+M26</f>
        <v>313334300000</v>
      </c>
      <c r="N3" s="37">
        <f>N4+N18+N26</f>
        <v>0</v>
      </c>
      <c r="O3" s="37">
        <f>O4+O18+O26</f>
        <v>229492146905</v>
      </c>
      <c r="P3" s="103">
        <f>P4+P18+P26</f>
        <v>83842153095</v>
      </c>
      <c r="Q3" s="37">
        <f>Q4+Q18+Q26</f>
        <v>229492146905</v>
      </c>
      <c r="R3" s="38">
        <f>IF(Q3&gt;1,Q3/(M3),0)</f>
        <v>0.7324194858494586</v>
      </c>
      <c r="S3" s="37">
        <f>S4+S18+S26</f>
        <v>227866731235</v>
      </c>
      <c r="T3" s="39">
        <f>T4+T18+T26</f>
        <v>227866731235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4339000000</v>
      </c>
      <c r="L4" s="24">
        <f t="shared" si="1"/>
        <v>500000000</v>
      </c>
      <c r="M4" s="24">
        <f>SUM(M5:M17)</f>
        <v>209646200000</v>
      </c>
      <c r="N4" s="24">
        <f>SUM(N5:N17)</f>
        <v>0</v>
      </c>
      <c r="O4" s="24">
        <f>SUM(O5:O17)</f>
        <v>155146551597</v>
      </c>
      <c r="P4" s="24">
        <f>SUM(P5:P17)</f>
        <v>54499648403</v>
      </c>
      <c r="Q4" s="24">
        <f>SUM(Q5:Q17)</f>
        <v>155146551597</v>
      </c>
      <c r="R4" s="96">
        <f t="shared" ref="R4:R34" si="2">IF(Q4&gt;1,Q4/(M4),0)</f>
        <v>0.74003989386404334</v>
      </c>
      <c r="S4" s="14">
        <f>SUM(S5:S17)</f>
        <v>155136944169</v>
      </c>
      <c r="T4" s="33">
        <f>SUM(T5:T17)</f>
        <v>155136944169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>
        <v>2175731926</v>
      </c>
      <c r="L5" s="27"/>
      <c r="M5" s="27">
        <f>J5+K5-L5</f>
        <v>150910938798</v>
      </c>
      <c r="N5" s="9">
        <v>0</v>
      </c>
      <c r="O5" s="9">
        <v>124916199173</v>
      </c>
      <c r="P5" s="27">
        <f t="shared" ref="P5:P17" si="3">+M5-O5-N5</f>
        <v>25994739625</v>
      </c>
      <c r="Q5" s="9">
        <v>124916199173</v>
      </c>
      <c r="R5" s="25">
        <f t="shared" si="2"/>
        <v>0.82774781051627444</v>
      </c>
      <c r="S5" s="9">
        <v>124906591745</v>
      </c>
      <c r="T5" s="10">
        <v>124906591745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2397110285</v>
      </c>
      <c r="P6" s="27">
        <f t="shared" si="3"/>
        <v>600204234</v>
      </c>
      <c r="Q6" s="9">
        <v>2397110285</v>
      </c>
      <c r="R6" s="25">
        <f t="shared" si="2"/>
        <v>0.79975266853201399</v>
      </c>
      <c r="S6" s="9">
        <v>2397110285</v>
      </c>
      <c r="T6" s="10">
        <v>2397110285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>
        <v>47640602</v>
      </c>
      <c r="L7" s="27"/>
      <c r="M7" s="27">
        <f t="shared" si="4"/>
        <v>1541895712</v>
      </c>
      <c r="N7" s="9">
        <v>0</v>
      </c>
      <c r="O7" s="9">
        <v>1252021112</v>
      </c>
      <c r="P7" s="27">
        <f t="shared" si="3"/>
        <v>289874600</v>
      </c>
      <c r="Q7" s="9">
        <v>1252021112</v>
      </c>
      <c r="R7" s="25">
        <f t="shared" si="2"/>
        <v>0.81200116340942263</v>
      </c>
      <c r="S7" s="9">
        <v>1252021112</v>
      </c>
      <c r="T7" s="10">
        <v>1252021112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236451557</v>
      </c>
      <c r="P8" s="27">
        <f t="shared" si="3"/>
        <v>62312263</v>
      </c>
      <c r="Q8" s="9">
        <v>236451557</v>
      </c>
      <c r="R8" s="25">
        <f t="shared" si="2"/>
        <v>0.79143303563329725</v>
      </c>
      <c r="S8" s="9">
        <v>236451557</v>
      </c>
      <c r="T8" s="10">
        <v>236451557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>
        <v>87862899</v>
      </c>
      <c r="L9" s="27"/>
      <c r="M9" s="27">
        <f t="shared" si="4"/>
        <v>571725039</v>
      </c>
      <c r="N9" s="9">
        <v>0</v>
      </c>
      <c r="O9" s="9">
        <v>473539990</v>
      </c>
      <c r="P9" s="27">
        <f t="shared" si="3"/>
        <v>98185049</v>
      </c>
      <c r="Q9" s="9">
        <v>473539990</v>
      </c>
      <c r="R9" s="25">
        <f t="shared" si="2"/>
        <v>0.82826526336552486</v>
      </c>
      <c r="S9" s="9">
        <v>473539990</v>
      </c>
      <c r="T9" s="10">
        <v>473539990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>
        <v>500000000</v>
      </c>
      <c r="L10" s="27"/>
      <c r="M10" s="27">
        <f t="shared" si="4"/>
        <v>7468238074</v>
      </c>
      <c r="N10" s="9">
        <v>0</v>
      </c>
      <c r="O10" s="9">
        <v>7219978566</v>
      </c>
      <c r="P10" s="27">
        <f t="shared" si="3"/>
        <v>248259508</v>
      </c>
      <c r="Q10" s="9">
        <v>7219978566</v>
      </c>
      <c r="R10" s="25">
        <f t="shared" si="2"/>
        <v>0.96675795474915382</v>
      </c>
      <c r="S10" s="9">
        <v>7219978566</v>
      </c>
      <c r="T10" s="10">
        <v>7219978566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>
        <v>192110476</v>
      </c>
      <c r="L11" s="27"/>
      <c r="M11" s="27">
        <f t="shared" si="4"/>
        <v>5099560523</v>
      </c>
      <c r="N11" s="9">
        <v>0</v>
      </c>
      <c r="O11" s="9">
        <v>4411853495</v>
      </c>
      <c r="P11" s="27">
        <f t="shared" si="3"/>
        <v>687707028</v>
      </c>
      <c r="Q11" s="9">
        <v>4411853495</v>
      </c>
      <c r="R11" s="25">
        <f t="shared" si="2"/>
        <v>0.86514386388820985</v>
      </c>
      <c r="S11" s="9">
        <v>4411853495</v>
      </c>
      <c r="T11" s="10">
        <v>4411853495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>
        <v>155255937</v>
      </c>
      <c r="L12" s="27"/>
      <c r="M12" s="27">
        <f t="shared" si="4"/>
        <v>1380083540</v>
      </c>
      <c r="N12" s="9">
        <v>0</v>
      </c>
      <c r="O12" s="9">
        <v>1093127873</v>
      </c>
      <c r="P12" s="27">
        <f t="shared" si="3"/>
        <v>286955667</v>
      </c>
      <c r="Q12" s="9">
        <v>1093127873</v>
      </c>
      <c r="R12" s="25">
        <f t="shared" si="2"/>
        <v>0.7920736979444013</v>
      </c>
      <c r="S12" s="9">
        <v>1093127873</v>
      </c>
      <c r="T12" s="10">
        <v>1093127873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>
        <v>798089037</v>
      </c>
      <c r="L13" s="27">
        <v>500000000</v>
      </c>
      <c r="M13" s="27">
        <f t="shared" si="4"/>
        <v>17033155427</v>
      </c>
      <c r="N13" s="9">
        <v>0</v>
      </c>
      <c r="O13" s="9">
        <v>300545567</v>
      </c>
      <c r="P13" s="27">
        <f t="shared" si="3"/>
        <v>16732609860</v>
      </c>
      <c r="Q13" s="9">
        <v>300545567</v>
      </c>
      <c r="R13" s="25">
        <f t="shared" si="2"/>
        <v>1.7644738127827572E-2</v>
      </c>
      <c r="S13" s="9">
        <v>300545567</v>
      </c>
      <c r="T13" s="10">
        <v>300545567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>
        <v>382309123</v>
      </c>
      <c r="L14" s="27"/>
      <c r="M14" s="27">
        <f t="shared" si="4"/>
        <v>8351978617</v>
      </c>
      <c r="N14" s="9">
        <v>0</v>
      </c>
      <c r="O14" s="9">
        <v>5692640756</v>
      </c>
      <c r="P14" s="27">
        <f t="shared" si="3"/>
        <v>2659337861</v>
      </c>
      <c r="Q14" s="9">
        <v>5692640756</v>
      </c>
      <c r="R14" s="25">
        <f t="shared" si="2"/>
        <v>0.68159187386003817</v>
      </c>
      <c r="S14" s="9">
        <v>5692640756</v>
      </c>
      <c r="T14" s="51">
        <v>5692640756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31831955</v>
      </c>
      <c r="P15" s="27">
        <f t="shared" si="3"/>
        <v>8123619</v>
      </c>
      <c r="Q15" s="9">
        <v>31831955</v>
      </c>
      <c r="R15" s="25">
        <f t="shared" si="2"/>
        <v>0.79668371176447117</v>
      </c>
      <c r="S15" s="9">
        <v>31831955</v>
      </c>
      <c r="T15" s="51">
        <v>31831955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14467205</v>
      </c>
      <c r="P16" s="27">
        <f t="shared" si="3"/>
        <v>4701344</v>
      </c>
      <c r="Q16" s="9">
        <v>14467205</v>
      </c>
      <c r="R16" s="25">
        <f t="shared" si="2"/>
        <v>0.75473657395768456</v>
      </c>
      <c r="S16" s="9">
        <v>14467205</v>
      </c>
      <c r="T16" s="51">
        <v>14467205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7106784063</v>
      </c>
      <c r="P17" s="27">
        <f t="shared" si="3"/>
        <v>6826637745</v>
      </c>
      <c r="Q17" s="9">
        <v>7106784063</v>
      </c>
      <c r="R17" s="25">
        <f t="shared" si="2"/>
        <v>0.51005303370056421</v>
      </c>
      <c r="S17" s="27">
        <v>7106784063</v>
      </c>
      <c r="T17" s="51">
        <v>7106784063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2009000000</v>
      </c>
      <c r="L18" s="24">
        <f t="shared" si="5"/>
        <v>0</v>
      </c>
      <c r="M18" s="24">
        <f>SUM(M19:M25)</f>
        <v>86842100000</v>
      </c>
      <c r="N18" s="14">
        <f>SUM(N19:N32)</f>
        <v>0</v>
      </c>
      <c r="O18" s="14">
        <f>SUM(O19:O25)</f>
        <v>62606805443</v>
      </c>
      <c r="P18" s="24">
        <f>SUM(P19:P25)</f>
        <v>24235294557</v>
      </c>
      <c r="Q18" s="14">
        <f>SUM(Q19:Q25)</f>
        <v>62606805443</v>
      </c>
      <c r="R18" s="26">
        <f t="shared" si="2"/>
        <v>0.72092689424829659</v>
      </c>
      <c r="S18" s="14">
        <f>SUM(S19:S25)</f>
        <v>60990997201</v>
      </c>
      <c r="T18" s="22">
        <f>SUM(T19:T25)</f>
        <v>60990997201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207</v>
      </c>
      <c r="H19" s="7" t="s">
        <v>5</v>
      </c>
      <c r="I19" s="8">
        <v>10</v>
      </c>
      <c r="J19" s="9">
        <v>22589800245</v>
      </c>
      <c r="K19" s="9">
        <v>734057355</v>
      </c>
      <c r="L19" s="27"/>
      <c r="M19" s="27">
        <f>J19+K19-L19</f>
        <v>23323857600</v>
      </c>
      <c r="N19" s="27">
        <v>0</v>
      </c>
      <c r="O19" s="9">
        <v>18620110500</v>
      </c>
      <c r="P19" s="27">
        <f t="shared" ref="P19:P32" si="6">+M19-O19-N19</f>
        <v>4703747100</v>
      </c>
      <c r="Q19" s="9">
        <v>18620110500</v>
      </c>
      <c r="R19" s="25">
        <f t="shared" si="2"/>
        <v>0.79832893937750671</v>
      </c>
      <c r="S19" s="9">
        <v>18620110500</v>
      </c>
      <c r="T19" s="51">
        <v>18620110500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208</v>
      </c>
      <c r="H20" s="7" t="s">
        <v>5</v>
      </c>
      <c r="I20" s="8">
        <v>10</v>
      </c>
      <c r="J20" s="9">
        <v>15845229516</v>
      </c>
      <c r="K20" s="9">
        <v>566093277</v>
      </c>
      <c r="L20" s="27"/>
      <c r="M20" s="27">
        <f t="shared" ref="M20:M24" si="7">J20+K20-L20</f>
        <v>16411322793</v>
      </c>
      <c r="N20" s="9">
        <v>0</v>
      </c>
      <c r="O20" s="9">
        <v>13098781700</v>
      </c>
      <c r="P20" s="27">
        <f t="shared" si="6"/>
        <v>3312541093</v>
      </c>
      <c r="Q20" s="9">
        <v>13098781700</v>
      </c>
      <c r="R20" s="25">
        <f t="shared" si="2"/>
        <v>0.79815514356874917</v>
      </c>
      <c r="S20" s="9">
        <v>13098781700</v>
      </c>
      <c r="T20" s="51">
        <v>13098781700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>
        <v>26417631</v>
      </c>
      <c r="L21" s="27"/>
      <c r="M21" s="27">
        <f t="shared" si="7"/>
        <v>19562495878</v>
      </c>
      <c r="N21" s="9">
        <v>0</v>
      </c>
      <c r="O21" s="9">
        <v>7213574701</v>
      </c>
      <c r="P21" s="27">
        <f t="shared" si="6"/>
        <v>12348921177</v>
      </c>
      <c r="Q21" s="9">
        <v>7213574701</v>
      </c>
      <c r="R21" s="25">
        <f t="shared" si="2"/>
        <v>0.36874511033698887</v>
      </c>
      <c r="S21" s="9">
        <v>7213574701</v>
      </c>
      <c r="T21" s="51">
        <v>7213574701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209</v>
      </c>
      <c r="H22" s="7" t="s">
        <v>5</v>
      </c>
      <c r="I22" s="8">
        <v>10</v>
      </c>
      <c r="J22" s="9">
        <v>8155531002</v>
      </c>
      <c r="K22" s="9">
        <v>235522065</v>
      </c>
      <c r="L22" s="27"/>
      <c r="M22" s="27">
        <f t="shared" si="7"/>
        <v>8391053067</v>
      </c>
      <c r="N22" s="9">
        <v>0</v>
      </c>
      <c r="O22" s="9">
        <v>6712117800</v>
      </c>
      <c r="P22" s="27">
        <f t="shared" si="6"/>
        <v>1678935267</v>
      </c>
      <c r="Q22" s="9">
        <v>6712117800</v>
      </c>
      <c r="R22" s="25">
        <f t="shared" si="2"/>
        <v>0.79991363973100704</v>
      </c>
      <c r="S22" s="9">
        <v>6712117800</v>
      </c>
      <c r="T22" s="51">
        <v>6712117800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>
        <v>89621678</v>
      </c>
      <c r="L23" s="27"/>
      <c r="M23" s="27">
        <f t="shared" si="7"/>
        <v>8660861320</v>
      </c>
      <c r="N23" s="9">
        <v>0</v>
      </c>
      <c r="O23" s="9">
        <v>8571239642</v>
      </c>
      <c r="P23" s="27">
        <f t="shared" si="6"/>
        <v>89621678</v>
      </c>
      <c r="Q23" s="9">
        <v>8571239642</v>
      </c>
      <c r="R23" s="25">
        <f t="shared" si="2"/>
        <v>0.98965210564068928</v>
      </c>
      <c r="S23" s="9">
        <v>6955431400</v>
      </c>
      <c r="T23" s="51">
        <v>6955431400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>
        <v>188514070</v>
      </c>
      <c r="L24" s="27"/>
      <c r="M24" s="27">
        <f t="shared" si="7"/>
        <v>6295055704</v>
      </c>
      <c r="N24" s="9">
        <v>0</v>
      </c>
      <c r="O24" s="9">
        <v>5034287400</v>
      </c>
      <c r="P24" s="27">
        <f t="shared" si="6"/>
        <v>1260768304</v>
      </c>
      <c r="Q24" s="9">
        <v>5034287400</v>
      </c>
      <c r="R24" s="25">
        <f t="shared" si="2"/>
        <v>0.79972086613961435</v>
      </c>
      <c r="S24" s="9">
        <v>5034287400</v>
      </c>
      <c r="T24" s="51">
        <v>5034287400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>
        <v>168773924</v>
      </c>
      <c r="L25" s="27"/>
      <c r="M25" s="27">
        <f>J25+K25-L25</f>
        <v>4197453638</v>
      </c>
      <c r="N25" s="9">
        <v>0</v>
      </c>
      <c r="O25" s="9">
        <v>3356693700</v>
      </c>
      <c r="P25" s="27">
        <f t="shared" si="6"/>
        <v>840759938</v>
      </c>
      <c r="Q25" s="9">
        <v>3356693700</v>
      </c>
      <c r="R25" s="25">
        <f t="shared" si="2"/>
        <v>0.79969762372393827</v>
      </c>
      <c r="S25" s="9">
        <v>3356693700</v>
      </c>
      <c r="T25" s="51">
        <v>3356693700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1302000000</v>
      </c>
      <c r="L26" s="24">
        <f t="shared" si="8"/>
        <v>0</v>
      </c>
      <c r="M26" s="24">
        <f>M27+M28+M29+M30+M31+M32</f>
        <v>16846000000</v>
      </c>
      <c r="N26" s="14">
        <v>0</v>
      </c>
      <c r="O26" s="14">
        <f>O27+O28+O29+O30+O31+O32</f>
        <v>11738789865</v>
      </c>
      <c r="P26" s="24">
        <f>P27+P28+P29+P30+P31+P32</f>
        <v>5107210135</v>
      </c>
      <c r="Q26" s="14">
        <f>Q27+Q28+Q29+Q30+Q31+Q32</f>
        <v>11738789865</v>
      </c>
      <c r="R26" s="26">
        <f t="shared" si="2"/>
        <v>0.69682950641101749</v>
      </c>
      <c r="S26" s="24">
        <f>S27+S28+S29+S30+S31+S32</f>
        <v>11738789865</v>
      </c>
      <c r="T26" s="22">
        <f>T27+T28+T29+T30+T31+T32</f>
        <v>11738789865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137</v>
      </c>
      <c r="H27" s="7" t="s">
        <v>5</v>
      </c>
      <c r="I27" s="8" t="s">
        <v>6</v>
      </c>
      <c r="J27" s="9">
        <v>12109049805</v>
      </c>
      <c r="K27" s="9">
        <v>1183355865</v>
      </c>
      <c r="L27" s="27"/>
      <c r="M27" s="27">
        <f>J27+K27-L27</f>
        <v>13292405670</v>
      </c>
      <c r="N27" s="9">
        <v>0</v>
      </c>
      <c r="O27" s="9">
        <v>9015727159</v>
      </c>
      <c r="P27" s="27">
        <f t="shared" si="6"/>
        <v>4276678511</v>
      </c>
      <c r="Q27" s="9">
        <v>9015727159</v>
      </c>
      <c r="R27" s="25">
        <f t="shared" si="2"/>
        <v>0.67826151133408796</v>
      </c>
      <c r="S27" s="9">
        <v>9015727159</v>
      </c>
      <c r="T27" s="51">
        <v>9015727159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>
        <v>118644135</v>
      </c>
      <c r="L28" s="27"/>
      <c r="M28" s="27">
        <f t="shared" ref="M28:M32" si="9">J28+K28-L28</f>
        <v>577506325</v>
      </c>
      <c r="N28" s="9">
        <v>0</v>
      </c>
      <c r="O28" s="9">
        <v>455169023</v>
      </c>
      <c r="P28" s="27">
        <f t="shared" si="6"/>
        <v>122337302</v>
      </c>
      <c r="Q28" s="9">
        <v>455169023</v>
      </c>
      <c r="R28" s="25">
        <f t="shared" si="2"/>
        <v>0.78816283613863447</v>
      </c>
      <c r="S28" s="9">
        <v>455169023</v>
      </c>
      <c r="T28" s="51">
        <v>455169023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9"/>
        <v>819318216</v>
      </c>
      <c r="N29" s="9">
        <v>0</v>
      </c>
      <c r="O29" s="9">
        <v>649380158</v>
      </c>
      <c r="P29" s="27">
        <f t="shared" si="6"/>
        <v>169938058</v>
      </c>
      <c r="Q29" s="9">
        <v>649380158</v>
      </c>
      <c r="R29" s="25">
        <f t="shared" si="2"/>
        <v>0.79258601275868623</v>
      </c>
      <c r="S29" s="9">
        <v>649380158</v>
      </c>
      <c r="T29" s="51">
        <v>649380158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9"/>
        <v>564704052</v>
      </c>
      <c r="N30" s="9">
        <v>0</v>
      </c>
      <c r="O30" s="9">
        <v>356716178</v>
      </c>
      <c r="P30" s="27">
        <f t="shared" si="6"/>
        <v>207987874</v>
      </c>
      <c r="Q30" s="9">
        <v>356716178</v>
      </c>
      <c r="R30" s="25">
        <f t="shared" si="2"/>
        <v>0.63168694599698039</v>
      </c>
      <c r="S30" s="9">
        <v>356716178</v>
      </c>
      <c r="T30" s="51">
        <v>356716178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9"/>
        <v>1496829460</v>
      </c>
      <c r="N31" s="9">
        <v>0</v>
      </c>
      <c r="O31" s="9">
        <v>1190673664</v>
      </c>
      <c r="P31" s="27">
        <f t="shared" si="6"/>
        <v>306155796</v>
      </c>
      <c r="Q31" s="9">
        <v>1190673664</v>
      </c>
      <c r="R31" s="25">
        <f t="shared" si="2"/>
        <v>0.79546380921711679</v>
      </c>
      <c r="S31" s="9">
        <v>1190673664</v>
      </c>
      <c r="T31" s="51">
        <v>1190673664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9"/>
        <v>95236277</v>
      </c>
      <c r="N32" s="9">
        <v>0</v>
      </c>
      <c r="O32" s="9">
        <v>71123683</v>
      </c>
      <c r="P32" s="27">
        <f t="shared" si="6"/>
        <v>24112594</v>
      </c>
      <c r="Q32" s="9">
        <v>71123683</v>
      </c>
      <c r="R32" s="25">
        <f t="shared" si="2"/>
        <v>0.74681292927903931</v>
      </c>
      <c r="S32" s="9">
        <v>71123683</v>
      </c>
      <c r="T32" s="51">
        <v>71123683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0">K3</f>
        <v>7650000000</v>
      </c>
      <c r="L33" s="64">
        <f t="shared" si="10"/>
        <v>500000000</v>
      </c>
      <c r="M33" s="64">
        <f>M3</f>
        <v>313334300000</v>
      </c>
      <c r="N33" s="64">
        <f>N3</f>
        <v>0</v>
      </c>
      <c r="O33" s="64">
        <f>O3</f>
        <v>229492146905</v>
      </c>
      <c r="P33" s="64">
        <f>P3</f>
        <v>83842153095</v>
      </c>
      <c r="Q33" s="64">
        <f>Q3</f>
        <v>229492146905</v>
      </c>
      <c r="R33" s="76">
        <f t="shared" si="2"/>
        <v>0.7324194858494586</v>
      </c>
      <c r="S33" s="64">
        <f>S3</f>
        <v>227866731235</v>
      </c>
      <c r="T33" s="73">
        <f>T3</f>
        <v>227866731235</v>
      </c>
      <c r="U33" s="105"/>
    </row>
    <row r="34" spans="1:21" ht="15" customHeight="1" thickBot="1" x14ac:dyDescent="0.3">
      <c r="A34" s="136" t="s">
        <v>25</v>
      </c>
      <c r="B34" s="137"/>
      <c r="C34" s="137"/>
      <c r="D34" s="137"/>
      <c r="E34" s="137"/>
      <c r="F34" s="137"/>
      <c r="G34" s="137"/>
      <c r="H34" s="137"/>
      <c r="I34" s="138"/>
      <c r="J34" s="77">
        <f>J33</f>
        <v>306184300000</v>
      </c>
      <c r="K34" s="77">
        <f t="shared" ref="K34:L34" si="11">K33</f>
        <v>7650000000</v>
      </c>
      <c r="L34" s="77">
        <f t="shared" si="11"/>
        <v>500000000</v>
      </c>
      <c r="M34" s="77">
        <f t="shared" ref="M34:T34" si="12">M33</f>
        <v>313334300000</v>
      </c>
      <c r="N34" s="77">
        <f t="shared" si="12"/>
        <v>0</v>
      </c>
      <c r="O34" s="77">
        <f t="shared" si="12"/>
        <v>229492146905</v>
      </c>
      <c r="P34" s="77">
        <f t="shared" si="12"/>
        <v>83842153095</v>
      </c>
      <c r="Q34" s="77">
        <f t="shared" si="12"/>
        <v>229492146905</v>
      </c>
      <c r="R34" s="76">
        <f t="shared" si="2"/>
        <v>0.7324194858494586</v>
      </c>
      <c r="S34" s="77">
        <f t="shared" si="12"/>
        <v>227866731235</v>
      </c>
      <c r="T34" s="78">
        <f t="shared" si="12"/>
        <v>227866731235</v>
      </c>
    </row>
    <row r="35" spans="1:21" ht="15.75" customHeight="1" thickBot="1" x14ac:dyDescent="0.3">
      <c r="A35" s="130" t="s">
        <v>102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2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J37+J38+J39+J40+J41+J42+J43+J45</f>
        <v>229203673</v>
      </c>
      <c r="K36" s="48">
        <f>K37+K38+K39+K40+K41+K42+K43+K44+K45</f>
        <v>2019373211</v>
      </c>
      <c r="L36" s="48">
        <f t="shared" ref="L36:O36" si="13">L37+L38+L39+L40+L41+L42+L43+L44+L45</f>
        <v>181391253</v>
      </c>
      <c r="M36" s="48">
        <f t="shared" si="13"/>
        <v>2067185631</v>
      </c>
      <c r="N36" s="48">
        <f>N37+N38+N39+N40+N41+N42+N43+N44+N45</f>
        <v>0</v>
      </c>
      <c r="O36" s="48">
        <f t="shared" si="13"/>
        <v>1827991503</v>
      </c>
      <c r="P36" s="48">
        <f t="shared" ref="P36" si="14">P37+P38+P39+P40+P41+P42+P43+P44+P45</f>
        <v>239194128</v>
      </c>
      <c r="Q36" s="48">
        <f t="shared" ref="Q36" si="15">Q37+Q38+Q39+Q40+Q41+Q42+Q43+Q44+Q45</f>
        <v>1208989282</v>
      </c>
      <c r="R36" s="62">
        <f t="shared" ref="R36:R91" si="16">IF(Q36&gt;1,Q36/(M36),0)</f>
        <v>0.5848479516641919</v>
      </c>
      <c r="S36" s="48">
        <f t="shared" ref="S36" si="17">S37+S38+S39+S40+S41+S42+S43+S44+S45</f>
        <v>566726702</v>
      </c>
      <c r="T36" s="48">
        <f t="shared" ref="T36" si="18">T37+T38+T39+T40+T41+T42+T43+T44+T45</f>
        <v>154376511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139</v>
      </c>
      <c r="H37" s="7" t="s">
        <v>5</v>
      </c>
      <c r="I37" s="8">
        <v>10</v>
      </c>
      <c r="J37" s="44">
        <v>10344433</v>
      </c>
      <c r="K37" s="44">
        <f>102410000+4000000+1339328+60000000+7357233+64018336+47530854</f>
        <v>286655751</v>
      </c>
      <c r="L37" s="44">
        <f>6000000+24433336+11230000+8000000</f>
        <v>49663336</v>
      </c>
      <c r="M37" s="44">
        <f>J37+K37-L37</f>
        <v>247336848</v>
      </c>
      <c r="N37" s="44"/>
      <c r="O37" s="44">
        <v>178465880</v>
      </c>
      <c r="P37" s="27">
        <f t="shared" ref="P37:P44" si="19">+M37-O37-N37</f>
        <v>68870968</v>
      </c>
      <c r="Q37" s="27">
        <v>178465880</v>
      </c>
      <c r="R37" s="69">
        <f t="shared" si="16"/>
        <v>0.72154990832583099</v>
      </c>
      <c r="S37" s="44">
        <v>115836880</v>
      </c>
      <c r="T37" s="70">
        <v>115836880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800000+1769586+11923800+20921616+91313840+14723660+64000000+12240457</f>
        <v>217692959</v>
      </c>
      <c r="L38" s="44">
        <f>74586+30000+2740117+462041</f>
        <v>3306744</v>
      </c>
      <c r="M38" s="44">
        <f t="shared" ref="M38:M45" si="20">J38+K38-L38</f>
        <v>271986215</v>
      </c>
      <c r="N38" s="44"/>
      <c r="O38" s="44">
        <v>217601716</v>
      </c>
      <c r="P38" s="27">
        <f t="shared" si="19"/>
        <v>54384499</v>
      </c>
      <c r="Q38" s="27">
        <v>35323759</v>
      </c>
      <c r="R38" s="69">
        <f t="shared" si="16"/>
        <v>0.12987334302953552</v>
      </c>
      <c r="S38" s="44">
        <v>16756759</v>
      </c>
      <c r="T38" s="70">
        <v>16756759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f>300000+154623+25977371+11699933+11561067+4498387+9470151</f>
        <v>63661532</v>
      </c>
      <c r="L39" s="44">
        <f>3178584+800000+154623+11699933</f>
        <v>15833140</v>
      </c>
      <c r="M39" s="44">
        <f t="shared" si="20"/>
        <v>72828392</v>
      </c>
      <c r="N39" s="44"/>
      <c r="O39" s="44">
        <v>72674323</v>
      </c>
      <c r="P39" s="27">
        <f t="shared" si="19"/>
        <v>154069</v>
      </c>
      <c r="Q39" s="27">
        <v>72674323</v>
      </c>
      <c r="R39" s="69">
        <f t="shared" si="16"/>
        <v>0.99788449263029178</v>
      </c>
      <c r="S39" s="44">
        <v>4821416</v>
      </c>
      <c r="T39" s="70">
        <v>4821416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f>412350191+320799958+35000000+59810000</f>
        <v>827960149</v>
      </c>
      <c r="L40" s="44"/>
      <c r="M40" s="44">
        <f>J40+K40-L40</f>
        <v>890960149</v>
      </c>
      <c r="N40" s="113">
        <v>0</v>
      </c>
      <c r="O40" s="44">
        <v>827960149</v>
      </c>
      <c r="P40" s="27">
        <f>+M40-O40-N40</f>
        <v>63000000</v>
      </c>
      <c r="Q40" s="27">
        <v>412350191</v>
      </c>
      <c r="R40" s="69">
        <f t="shared" si="16"/>
        <v>0.46281552711736379</v>
      </c>
      <c r="S40" s="44">
        <v>412350191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f>4000000+3419180+57762584+16000000+2958968</f>
        <v>84140732</v>
      </c>
      <c r="L41" s="44">
        <f>30000000+3419180+737800+17623884+107800</f>
        <v>51888664</v>
      </c>
      <c r="M41" s="44">
        <f t="shared" si="20"/>
        <v>67252068</v>
      </c>
      <c r="N41" s="44"/>
      <c r="O41" s="44">
        <v>63097668</v>
      </c>
      <c r="P41" s="27">
        <f>+M41-O41-N41</f>
        <v>4154400</v>
      </c>
      <c r="Q41" s="27">
        <v>63097668</v>
      </c>
      <c r="R41" s="69">
        <f t="shared" si="16"/>
        <v>0.93822643491052204</v>
      </c>
      <c r="S41" s="44">
        <v>3999781</v>
      </c>
      <c r="T41" s="70">
        <v>3999781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>
        <f>6600000</f>
        <v>6600000</v>
      </c>
      <c r="L42" s="44">
        <f>1339328+1038321</f>
        <v>2377649</v>
      </c>
      <c r="M42" s="44">
        <f t="shared" si="20"/>
        <v>22222351</v>
      </c>
      <c r="N42" s="44"/>
      <c r="O42" s="44">
        <v>13561675</v>
      </c>
      <c r="P42" s="27">
        <f t="shared" si="19"/>
        <v>8660676</v>
      </c>
      <c r="Q42" s="27">
        <v>6961675</v>
      </c>
      <c r="R42" s="69">
        <f t="shared" si="16"/>
        <v>0.31327355957972225</v>
      </c>
      <c r="S42" s="44">
        <v>6961675</v>
      </c>
      <c r="T42" s="70">
        <v>6961675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140</v>
      </c>
      <c r="H43" s="7" t="s">
        <v>5</v>
      </c>
      <c r="I43" s="8">
        <v>10</v>
      </c>
      <c r="J43" s="44">
        <v>20259240</v>
      </c>
      <c r="K43" s="44">
        <f>56285000+6146510+2795572+14694140</f>
        <v>79921222</v>
      </c>
      <c r="L43" s="44">
        <f>12559711+22902460+4189050+4342404+1440289+6100000+2795572</f>
        <v>54329486</v>
      </c>
      <c r="M43" s="44">
        <f t="shared" si="20"/>
        <v>45850976</v>
      </c>
      <c r="N43" s="44"/>
      <c r="O43" s="44">
        <v>6000000</v>
      </c>
      <c r="P43" s="27">
        <f t="shared" si="19"/>
        <v>39850976</v>
      </c>
      <c r="Q43" s="27">
        <v>6000000</v>
      </c>
      <c r="R43" s="69">
        <f t="shared" si="16"/>
        <v>0.13085871934329163</v>
      </c>
      <c r="S43" s="44">
        <v>6000000</v>
      </c>
      <c r="T43" s="44">
        <v>6000000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231</v>
      </c>
      <c r="H44" s="7" t="s">
        <v>5</v>
      </c>
      <c r="I44" s="8">
        <v>10</v>
      </c>
      <c r="J44" s="44">
        <v>0</v>
      </c>
      <c r="K44" s="44">
        <f>430000000+1999600+799840+5427120</f>
        <v>438226560</v>
      </c>
      <c r="L44" s="44">
        <f>399920+592314+3000000</f>
        <v>3992234</v>
      </c>
      <c r="M44" s="44">
        <f t="shared" ref="M44" si="21">J44+K44-L44</f>
        <v>434234326</v>
      </c>
      <c r="N44" s="44"/>
      <c r="O44" s="44">
        <v>434115786</v>
      </c>
      <c r="P44" s="27">
        <f t="shared" si="19"/>
        <v>118540</v>
      </c>
      <c r="Q44" s="27">
        <v>434115786</v>
      </c>
      <c r="R44" s="69">
        <f t="shared" ref="R44" si="22">IF(Q44&gt;1,Q44/(M44),0)</f>
        <v>0.99972701375063566</v>
      </c>
      <c r="S44" s="44">
        <v>0</v>
      </c>
      <c r="T44" s="44">
        <v>0</v>
      </c>
    </row>
    <row r="45" spans="1:21" ht="15.75" customHeight="1" x14ac:dyDescent="0.25">
      <c r="A45" s="91" t="s">
        <v>3</v>
      </c>
      <c r="B45" s="7" t="s">
        <v>50</v>
      </c>
      <c r="C45" s="7" t="s">
        <v>34</v>
      </c>
      <c r="D45" s="7" t="s">
        <v>34</v>
      </c>
      <c r="E45" s="7" t="s">
        <v>40</v>
      </c>
      <c r="F45" s="65" t="s">
        <v>47</v>
      </c>
      <c r="G45" s="23" t="s">
        <v>236</v>
      </c>
      <c r="H45" s="7" t="s">
        <v>5</v>
      </c>
      <c r="I45" s="8">
        <v>10</v>
      </c>
      <c r="J45" s="44">
        <v>0</v>
      </c>
      <c r="K45" s="44">
        <f>14514306</f>
        <v>14514306</v>
      </c>
      <c r="L45" s="44"/>
      <c r="M45" s="44">
        <f t="shared" si="20"/>
        <v>14514306</v>
      </c>
      <c r="N45" s="44"/>
      <c r="O45" s="44">
        <v>14514306</v>
      </c>
      <c r="P45" s="27">
        <f t="shared" ref="P45" si="23">+M45-O45-N45</f>
        <v>0</v>
      </c>
      <c r="Q45" s="27">
        <v>0</v>
      </c>
      <c r="R45" s="69">
        <f t="shared" si="16"/>
        <v>0</v>
      </c>
      <c r="S45" s="44">
        <v>0</v>
      </c>
      <c r="T45" s="44">
        <v>0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5</v>
      </c>
      <c r="I46" s="13">
        <v>10</v>
      </c>
      <c r="J46" s="48">
        <f>J49+J50+J51+J52+J53+J54+J55+J56+J57+J58+J59+J60+J61+J62+J63+J66+J67+J68+J69+J70+J71+J72+J73+J76+J77+J78+J79+J80+J81+J82+J83+J84+J85+J87+J64+J65+J86</f>
        <v>49497396327</v>
      </c>
      <c r="K46" s="48">
        <f>K49+K50+K51+K52+K53+K54+K55+K56+K57+K58+K59+K60+K61+K62+K63+K64+K65+K66+K67+K68+K69+K70+K71+K72+K73+K76+K77+K78+K79+K80+K81+K82+K83+K84+K85+K87</f>
        <v>12613759990.76</v>
      </c>
      <c r="L46" s="48">
        <f>L49+L50+L51+L52+L53+L54+L55+L56+L57+L58+L59+L60+L61+L62+L63+L64+L65+L66+L67+L68+L69+L70+L71+L72+L73+L76+L77+L78+L79+L80+L81+L82+L83+L84+L85+L87</f>
        <v>9947152915.7600002</v>
      </c>
      <c r="M46" s="48">
        <f>M49+M50+M51+M52+M53+M54+M55+M56+M57+M58+M59+M60+M61+M62+M63+M64+M65+M66+M67+M68+M69+M70+M71+M72+M73+M76+M77+M78+M79+M80+M81+M82+M83+M84+M85+M87</f>
        <v>52164003402</v>
      </c>
      <c r="N46" s="48">
        <f>N49+N50+N51+N52+N53+N54+N55+N56+N57+N58+N59+N60+N61+N62+N63+N66+N67+N68+N69+N70+N71+N72+N73+N76+N77+N78+N79+N80+N81+N82+N83+N84+N85+N87+N64+N65</f>
        <v>0</v>
      </c>
      <c r="O46" s="123">
        <f>O49+O50+O51+O52+O53+O54+O55+O56+O57+O58+O59+O60+O61+O62+O63+O64+O65+O66+O67+O68+O69+O70+O71+O72+O73+O76+O77+O78+O79+O80+O81+O82+O83+O84+O85+O87</f>
        <v>49393569264.699997</v>
      </c>
      <c r="P46" s="48">
        <f>P49+P50+P51+P52+P53+P54+P55+P56+P57+P58+P59+P60+P61+P62+P63+P64+P65+P66+P67+P68+P69+P70+P71+P72+P73+P76+P77+P78+P79+P80+P81+P82+P83+P84+P85+P87</f>
        <v>2770434137.2999988</v>
      </c>
      <c r="Q46" s="48">
        <f>Q49+Q50+Q51+Q52+Q53+Q54+Q55+Q56+Q57+Q58+Q59+Q60+Q61+Q62+Q63+Q64+Q65+Q66+Q67+Q68+Q69+Q70+Q71+Q72+Q73+Q76+Q77+Q78+Q79+Q80+Q81+Q82+Q83+Q84+Q85+Q87</f>
        <v>41944020996.699997</v>
      </c>
      <c r="R46" s="62">
        <f>IF(Q46&gt;1,Q46/(M46),0)</f>
        <v>0.80407979183384226</v>
      </c>
      <c r="S46" s="24">
        <f t="shared" ref="S46:T46" si="24">S49+S50+S51+S52+S53+S54+S55+S56+S57+S58+S59+S60+S61+S62+S63+S64+S65+S66+S67+S68+S69+S70+S71+S72+S73+S76+S77+S78+S79+S80+S81+S82+S83+S84+S85+S87</f>
        <v>28880090088.759998</v>
      </c>
      <c r="T46" s="24">
        <f t="shared" si="24"/>
        <v>28779475299.309998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20</v>
      </c>
      <c r="J47" s="48">
        <f>J74+J86</f>
        <v>950000000</v>
      </c>
      <c r="K47" s="48">
        <f t="shared" ref="K47" si="25">K74+K86</f>
        <v>50000000</v>
      </c>
      <c r="L47" s="48">
        <f>L74+L86+L75</f>
        <v>50000000</v>
      </c>
      <c r="M47" s="48">
        <f>M74+M86</f>
        <v>950000000</v>
      </c>
      <c r="N47" s="48">
        <f t="shared" ref="N47:P47" si="26">N74+N86</f>
        <v>0</v>
      </c>
      <c r="O47" s="48">
        <f t="shared" si="26"/>
        <v>672070637.04999995</v>
      </c>
      <c r="P47" s="24">
        <f t="shared" si="26"/>
        <v>277929362.95000005</v>
      </c>
      <c r="Q47" s="24">
        <f>Q74+Q86</f>
        <v>665091437.04999995</v>
      </c>
      <c r="R47" s="62">
        <f t="shared" si="16"/>
        <v>0.70009624952631577</v>
      </c>
      <c r="S47" s="48">
        <f t="shared" ref="S47:T47" si="27">S74+S86</f>
        <v>622067457.04999995</v>
      </c>
      <c r="T47" s="68">
        <f t="shared" si="27"/>
        <v>620439257.04999995</v>
      </c>
    </row>
    <row r="48" spans="1:21" s="47" customFormat="1" ht="15" customHeight="1" x14ac:dyDescent="0.25">
      <c r="A48" s="90" t="s">
        <v>3</v>
      </c>
      <c r="B48" s="11" t="s">
        <v>50</v>
      </c>
      <c r="C48" s="11" t="s">
        <v>50</v>
      </c>
      <c r="D48" s="11"/>
      <c r="E48" s="11"/>
      <c r="F48" s="49"/>
      <c r="G48" s="12" t="s">
        <v>80</v>
      </c>
      <c r="H48" s="11" t="s">
        <v>8</v>
      </c>
      <c r="I48" s="13">
        <v>21</v>
      </c>
      <c r="J48" s="48">
        <f>J75</f>
        <v>475113000</v>
      </c>
      <c r="K48" s="48">
        <f t="shared" ref="K48:L48" si="28">K75</f>
        <v>0</v>
      </c>
      <c r="L48" s="48">
        <f t="shared" si="28"/>
        <v>0</v>
      </c>
      <c r="M48" s="48">
        <f>M75</f>
        <v>475113000</v>
      </c>
      <c r="N48" s="48">
        <f>N75</f>
        <v>0</v>
      </c>
      <c r="O48" s="48">
        <f>O75</f>
        <v>475113000</v>
      </c>
      <c r="P48" s="24">
        <f>P75</f>
        <v>0</v>
      </c>
      <c r="Q48" s="24">
        <f>Q75</f>
        <v>475113000</v>
      </c>
      <c r="R48" s="62">
        <f t="shared" si="16"/>
        <v>1</v>
      </c>
      <c r="S48" s="48">
        <f>S75</f>
        <v>475113000</v>
      </c>
      <c r="T48" s="68">
        <f>T75</f>
        <v>475113000</v>
      </c>
    </row>
    <row r="49" spans="1:20" s="6" customForma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35</v>
      </c>
      <c r="F49" s="65" t="s">
        <v>42</v>
      </c>
      <c r="G49" s="23" t="s">
        <v>233</v>
      </c>
      <c r="H49" s="7" t="s">
        <v>5</v>
      </c>
      <c r="I49" s="8">
        <v>10</v>
      </c>
      <c r="J49" s="44">
        <v>0</v>
      </c>
      <c r="K49" s="44">
        <f>50000+100000</f>
        <v>150000</v>
      </c>
      <c r="L49" s="44"/>
      <c r="M49" s="44">
        <f>J49+K49-L49</f>
        <v>150000</v>
      </c>
      <c r="N49" s="44"/>
      <c r="O49" s="44">
        <v>150000</v>
      </c>
      <c r="P49" s="27">
        <f>+M49-O49-N49</f>
        <v>0</v>
      </c>
      <c r="Q49" s="9">
        <v>150000</v>
      </c>
      <c r="R49" s="25">
        <f t="shared" ref="R49:R51" si="29">IF(Q49&gt;1,Q49/(M49),0)</f>
        <v>1</v>
      </c>
      <c r="S49" s="9">
        <v>0</v>
      </c>
      <c r="T49" s="10">
        <v>0</v>
      </c>
    </row>
    <row r="50" spans="1:20" s="6" customForma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65" t="s">
        <v>35</v>
      </c>
      <c r="F50" s="65" t="s">
        <v>43</v>
      </c>
      <c r="G50" s="23" t="s">
        <v>232</v>
      </c>
      <c r="H50" s="7" t="s">
        <v>5</v>
      </c>
      <c r="I50" s="8">
        <v>10</v>
      </c>
      <c r="J50" s="44">
        <v>0</v>
      </c>
      <c r="K50" s="44">
        <v>200000</v>
      </c>
      <c r="L50" s="44">
        <v>100000</v>
      </c>
      <c r="M50" s="44">
        <f>J50+K50-L50</f>
        <v>100000</v>
      </c>
      <c r="N50" s="44">
        <v>0</v>
      </c>
      <c r="O50" s="44">
        <v>100000</v>
      </c>
      <c r="P50" s="27">
        <f t="shared" ref="P50:P51" si="30">+M50-O50-N50</f>
        <v>0</v>
      </c>
      <c r="Q50" s="9">
        <v>100000</v>
      </c>
      <c r="R50" s="25">
        <f t="shared" si="29"/>
        <v>1</v>
      </c>
      <c r="S50" s="9">
        <v>0</v>
      </c>
      <c r="T50" s="10">
        <v>0</v>
      </c>
    </row>
    <row r="51" spans="1:20" s="6" customFormat="1" ht="41.2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65" t="s">
        <v>37</v>
      </c>
      <c r="F51" s="65" t="s">
        <v>39</v>
      </c>
      <c r="G51" s="23" t="s">
        <v>109</v>
      </c>
      <c r="H51" s="7" t="s">
        <v>5</v>
      </c>
      <c r="I51" s="8">
        <v>10</v>
      </c>
      <c r="J51" s="44">
        <v>5000000</v>
      </c>
      <c r="K51" s="44"/>
      <c r="L51" s="44">
        <f>5000000</f>
        <v>5000000</v>
      </c>
      <c r="M51" s="44">
        <f>J51+K51-L51</f>
        <v>0</v>
      </c>
      <c r="N51" s="44">
        <v>0</v>
      </c>
      <c r="O51" s="44">
        <v>0</v>
      </c>
      <c r="P51" s="27">
        <f t="shared" si="30"/>
        <v>0</v>
      </c>
      <c r="Q51" s="9">
        <v>0</v>
      </c>
      <c r="R51" s="25">
        <f t="shared" si="29"/>
        <v>0</v>
      </c>
      <c r="S51" s="9">
        <v>0</v>
      </c>
      <c r="T51" s="10">
        <v>0</v>
      </c>
    </row>
    <row r="52" spans="1:20" s="6" customFormat="1" ht="32.25" customHeight="1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37</v>
      </c>
      <c r="F52" s="65" t="s">
        <v>44</v>
      </c>
      <c r="G52" s="23" t="s">
        <v>212</v>
      </c>
      <c r="H52" s="7" t="s">
        <v>5</v>
      </c>
      <c r="I52" s="8">
        <v>10</v>
      </c>
      <c r="J52" s="44">
        <v>10689249</v>
      </c>
      <c r="K52" s="44">
        <f>10933850+523000+8690000+1633510+1287430</f>
        <v>23067790</v>
      </c>
      <c r="L52" s="44">
        <f>300000</f>
        <v>300000</v>
      </c>
      <c r="M52" s="44">
        <f t="shared" ref="M52" si="31">J52+K52-L52</f>
        <v>33457039</v>
      </c>
      <c r="N52" s="44">
        <v>0</v>
      </c>
      <c r="O52" s="44">
        <v>18855600</v>
      </c>
      <c r="P52" s="27">
        <f>+M52-O52-N52</f>
        <v>14601439</v>
      </c>
      <c r="Q52" s="9">
        <v>15480600</v>
      </c>
      <c r="R52" s="25">
        <f t="shared" si="16"/>
        <v>0.46270083852907606</v>
      </c>
      <c r="S52" s="9">
        <v>0</v>
      </c>
      <c r="T52" s="10">
        <v>0</v>
      </c>
    </row>
    <row r="53" spans="1:20" s="6" customFormat="1" ht="16.5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37</v>
      </c>
      <c r="F53" s="7" t="s">
        <v>45</v>
      </c>
      <c r="G53" s="23" t="s">
        <v>110</v>
      </c>
      <c r="H53" s="7" t="s">
        <v>5</v>
      </c>
      <c r="I53" s="8" t="s">
        <v>6</v>
      </c>
      <c r="J53" s="44">
        <v>662899534</v>
      </c>
      <c r="K53" s="44">
        <f>5367603.9+3281650+7000000+46000000+7827290+58467950+10000000+11549621</f>
        <v>149494114.90000001</v>
      </c>
      <c r="L53" s="44">
        <f>9933700+12473363.13+3586650+1173500+3793966+492290+21905650+4761800+5501000+2380000</f>
        <v>66001919.130000003</v>
      </c>
      <c r="M53" s="44">
        <f t="shared" ref="M53:M84" si="32">J53+K53-L53</f>
        <v>746391729.76999998</v>
      </c>
      <c r="N53" s="9">
        <v>0</v>
      </c>
      <c r="O53" s="44">
        <v>662794231.14999998</v>
      </c>
      <c r="P53" s="27">
        <f>+M53-O53-N53</f>
        <v>83597498.620000005</v>
      </c>
      <c r="Q53" s="9">
        <v>496744610.14999998</v>
      </c>
      <c r="R53" s="25">
        <f t="shared" si="16"/>
        <v>0.66552802012298751</v>
      </c>
      <c r="S53" s="9">
        <v>269798608.10000002</v>
      </c>
      <c r="T53" s="10">
        <v>269798608.10000002</v>
      </c>
    </row>
    <row r="54" spans="1:20" s="6" customFormat="1" ht="24.75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35</v>
      </c>
      <c r="G54" s="23" t="s">
        <v>111</v>
      </c>
      <c r="H54" s="7" t="s">
        <v>5</v>
      </c>
      <c r="I54" s="8" t="s">
        <v>6</v>
      </c>
      <c r="J54" s="44">
        <v>10000</v>
      </c>
      <c r="K54" s="44">
        <f>1200000+2000000+10043628</f>
        <v>13243628</v>
      </c>
      <c r="L54" s="44">
        <f>500000</f>
        <v>500000</v>
      </c>
      <c r="M54" s="44">
        <f t="shared" si="32"/>
        <v>12753628</v>
      </c>
      <c r="N54" s="9">
        <v>0</v>
      </c>
      <c r="O54" s="44">
        <v>8906000</v>
      </c>
      <c r="P54" s="27">
        <f t="shared" ref="P54:P87" si="33">+M54-O54-N54</f>
        <v>3847628</v>
      </c>
      <c r="Q54" s="9">
        <v>8906000</v>
      </c>
      <c r="R54" s="25">
        <f t="shared" si="16"/>
        <v>0.69831110018263043</v>
      </c>
      <c r="S54" s="9">
        <v>0</v>
      </c>
      <c r="T54" s="10">
        <v>0</v>
      </c>
    </row>
    <row r="55" spans="1:20" s="6" customFormat="1" ht="43.5" customHeigh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37</v>
      </c>
      <c r="G55" s="23" t="s">
        <v>215</v>
      </c>
      <c r="H55" s="7" t="s">
        <v>5</v>
      </c>
      <c r="I55" s="8">
        <v>10</v>
      </c>
      <c r="J55" s="44">
        <v>126215878</v>
      </c>
      <c r="K55" s="44">
        <f>900000+33000+68000000+1573500+60000000+614734+47992767+9711871+52583268+3793966+23277389+14000000+4776379</f>
        <v>287256874</v>
      </c>
      <c r="L55" s="44">
        <f>11423842+1419723+198802+961500+750+31753750+3505957+10169960+1000000+4776379</f>
        <v>65210663</v>
      </c>
      <c r="M55" s="44">
        <f>J55+K55-L55</f>
        <v>348262089</v>
      </c>
      <c r="N55" s="27">
        <v>0</v>
      </c>
      <c r="O55" s="44">
        <v>235728641</v>
      </c>
      <c r="P55" s="44">
        <f t="shared" si="33"/>
        <v>112533448</v>
      </c>
      <c r="Q55" s="9">
        <v>235728641</v>
      </c>
      <c r="R55" s="25">
        <f t="shared" si="16"/>
        <v>0.67687138062276997</v>
      </c>
      <c r="S55" s="9">
        <v>63895011</v>
      </c>
      <c r="T55" s="10">
        <v>63895011</v>
      </c>
    </row>
    <row r="56" spans="1:20" s="6" customFormat="1" ht="23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39</v>
      </c>
      <c r="G56" s="23" t="s">
        <v>112</v>
      </c>
      <c r="H56" s="7" t="s">
        <v>5</v>
      </c>
      <c r="I56" s="8" t="s">
        <v>6</v>
      </c>
      <c r="J56" s="44">
        <v>353285398</v>
      </c>
      <c r="K56" s="44">
        <f>900000+1500000+4740000+650400+200000+9300000+1500000+500000+1362000</f>
        <v>20652400</v>
      </c>
      <c r="L56" s="44">
        <f xml:space="preserve"> 983260</f>
        <v>983260</v>
      </c>
      <c r="M56" s="44">
        <f>J56+K56-L56</f>
        <v>372954538</v>
      </c>
      <c r="N56" s="27">
        <v>0</v>
      </c>
      <c r="O56" s="44">
        <v>273228105</v>
      </c>
      <c r="P56" s="27">
        <f t="shared" si="33"/>
        <v>99726433</v>
      </c>
      <c r="Q56" s="9">
        <v>272728105</v>
      </c>
      <c r="R56" s="25">
        <f t="shared" si="16"/>
        <v>0.73126367214225985</v>
      </c>
      <c r="S56" s="9">
        <v>197060979.97999999</v>
      </c>
      <c r="T56" s="10">
        <v>185269372.53</v>
      </c>
    </row>
    <row r="57" spans="1:20" s="6" customFormat="1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40</v>
      </c>
      <c r="G57" s="23" t="s">
        <v>113</v>
      </c>
      <c r="H57" s="7" t="s">
        <v>5</v>
      </c>
      <c r="I57" s="8" t="s">
        <v>6</v>
      </c>
      <c r="J57" s="44">
        <v>329921413</v>
      </c>
      <c r="K57" s="44">
        <f>9781546+1100000+1500000+5000000+25000000+11011000+7460860+1365600+500000+2886651+11230000</f>
        <v>76835657</v>
      </c>
      <c r="L57" s="44">
        <f>6250072+8248057+10658867+6056480+12011000+7460860+1694657</f>
        <v>52379993</v>
      </c>
      <c r="M57" s="44">
        <f t="shared" si="32"/>
        <v>354377077</v>
      </c>
      <c r="N57" s="27">
        <v>0</v>
      </c>
      <c r="O57" s="44">
        <v>342129158.05000001</v>
      </c>
      <c r="P57" s="44">
        <f t="shared" si="33"/>
        <v>12247918.949999988</v>
      </c>
      <c r="Q57" s="9">
        <v>330899158.05000001</v>
      </c>
      <c r="R57" s="25">
        <f t="shared" si="16"/>
        <v>0.93374876516067662</v>
      </c>
      <c r="S57" s="9">
        <v>130495054.16</v>
      </c>
      <c r="T57" s="10">
        <v>128130572.16</v>
      </c>
    </row>
    <row r="58" spans="1:20" s="6" customFormat="1" ht="29.25" customHeight="1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42</v>
      </c>
      <c r="G58" s="23" t="s">
        <v>114</v>
      </c>
      <c r="H58" s="7" t="s">
        <v>5</v>
      </c>
      <c r="I58" s="8" t="s">
        <v>6</v>
      </c>
      <c r="J58" s="44">
        <v>90459640</v>
      </c>
      <c r="K58" s="44">
        <f>685420+3400000+9000000+71669518+415650+126000+15915866+6587505+3093638+23669389.66+1600000+730809+500000+7098900+31080+2385248+5668711+3084316+21050000+6100000+15906724+2380000</f>
        <v>201098774.66</v>
      </c>
      <c r="L58" s="44">
        <f>25000000+28720+89119679+864045+2000000+57062</f>
        <v>117069506</v>
      </c>
      <c r="M58" s="44">
        <f t="shared" si="32"/>
        <v>174488908.65999997</v>
      </c>
      <c r="N58" s="27">
        <v>0</v>
      </c>
      <c r="O58" s="44">
        <v>96123542</v>
      </c>
      <c r="P58" s="44">
        <f t="shared" si="33"/>
        <v>78365366.659999967</v>
      </c>
      <c r="Q58" s="9">
        <v>76216818</v>
      </c>
      <c r="R58" s="25">
        <f t="shared" si="16"/>
        <v>0.43680035931975558</v>
      </c>
      <c r="S58" s="9">
        <v>2136388</v>
      </c>
      <c r="T58" s="10">
        <v>2136388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43</v>
      </c>
      <c r="G59" s="23" t="s">
        <v>115</v>
      </c>
      <c r="H59" s="7" t="s">
        <v>5</v>
      </c>
      <c r="I59" s="8" t="s">
        <v>6</v>
      </c>
      <c r="J59" s="44">
        <v>336036763</v>
      </c>
      <c r="K59" s="44">
        <f>6471822+50000000+13620000+1411324+64000000+500000+99478792.28+120230208+912870+27729287+16533960+2843600+2616000+6000000+21732488+47727760+1731657+26114156.9+3000000+51642879+1469480+5300000+104146+48943728.87+2457672+4776379</f>
        <v>627348210.04999995</v>
      </c>
      <c r="L59" s="44">
        <f>20577512+2769584+6765305+2983330+8517735+127253+23457950+412881+500000+20000000+2870+42355978+5668711+107330+3848470+1000000+1362000</f>
        <v>140456909</v>
      </c>
      <c r="M59" s="44">
        <f t="shared" si="32"/>
        <v>822928064.04999995</v>
      </c>
      <c r="N59" s="9">
        <v>0</v>
      </c>
      <c r="O59" s="44">
        <v>753869687.45000005</v>
      </c>
      <c r="P59" s="44">
        <f t="shared" si="33"/>
        <v>69058376.599999905</v>
      </c>
      <c r="Q59" s="9">
        <v>538057628.45000005</v>
      </c>
      <c r="R59" s="25">
        <f t="shared" si="16"/>
        <v>0.65383312582873399</v>
      </c>
      <c r="S59" s="9">
        <v>339911708.63</v>
      </c>
      <c r="T59" s="10">
        <v>339911708.63</v>
      </c>
    </row>
    <row r="60" spans="1:20" s="6" customFormat="1" ht="24.75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39</v>
      </c>
      <c r="F60" s="7" t="s">
        <v>44</v>
      </c>
      <c r="G60" s="23" t="s">
        <v>116</v>
      </c>
      <c r="H60" s="7" t="s">
        <v>5</v>
      </c>
      <c r="I60" s="63" t="s">
        <v>6</v>
      </c>
      <c r="J60" s="44">
        <v>4200000</v>
      </c>
      <c r="K60" s="44">
        <f>660637+3920858+67583193+4000000+3072000+80000+2000000</f>
        <v>81316688</v>
      </c>
      <c r="L60" s="44">
        <f>600000+3920858+139072+1000000</f>
        <v>5659930</v>
      </c>
      <c r="M60" s="44">
        <f>J60+K60-L60</f>
        <v>79856758</v>
      </c>
      <c r="N60" s="9">
        <v>0</v>
      </c>
      <c r="O60" s="44">
        <v>79834813</v>
      </c>
      <c r="P60" s="27">
        <f t="shared" si="33"/>
        <v>21945</v>
      </c>
      <c r="Q60" s="9">
        <v>79834813</v>
      </c>
      <c r="R60" s="25">
        <f t="shared" si="16"/>
        <v>0.99972519545559313</v>
      </c>
      <c r="S60" s="9">
        <v>4006900</v>
      </c>
      <c r="T60" s="10">
        <v>4006900</v>
      </c>
    </row>
    <row r="61" spans="1:20" s="6" customFormat="1" ht="16.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39</v>
      </c>
      <c r="F61" s="7" t="s">
        <v>45</v>
      </c>
      <c r="G61" s="23" t="s">
        <v>117</v>
      </c>
      <c r="H61" s="7" t="s">
        <v>5</v>
      </c>
      <c r="I61" s="8" t="s">
        <v>6</v>
      </c>
      <c r="J61" s="44">
        <v>282668220</v>
      </c>
      <c r="K61" s="44">
        <f>3830280+600000+515566+2113061+685000+44798.35+718893+50000+12626433+50000+31753750+7787+722840</f>
        <v>53718408.350000001</v>
      </c>
      <c r="L61" s="44">
        <f>1100000+114718262+17662512+71420+121587487+100000+43124+375+529893</f>
        <v>255813073</v>
      </c>
      <c r="M61" s="44">
        <f>J61+K61-L61</f>
        <v>80573555.350000024</v>
      </c>
      <c r="N61" s="9">
        <v>0</v>
      </c>
      <c r="O61" s="44">
        <v>79972647</v>
      </c>
      <c r="P61" s="27">
        <f>+M61-O61-N61</f>
        <v>600908.35000002384</v>
      </c>
      <c r="Q61" s="9">
        <v>77657647</v>
      </c>
      <c r="R61" s="25">
        <f t="shared" si="16"/>
        <v>0.9638106034004118</v>
      </c>
      <c r="S61" s="9">
        <v>7370052</v>
      </c>
      <c r="T61" s="10">
        <v>7370052</v>
      </c>
    </row>
    <row r="62" spans="1:20" s="6" customFormat="1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7" t="s">
        <v>35</v>
      </c>
      <c r="G62" s="23" t="s">
        <v>118</v>
      </c>
      <c r="H62" s="7" t="s">
        <v>5</v>
      </c>
      <c r="I62" s="8" t="s">
        <v>6</v>
      </c>
      <c r="J62" s="44">
        <v>4200000</v>
      </c>
      <c r="K62" s="44">
        <f>1000000+140343.1+400000+6739499+100000+101824</f>
        <v>8481666.0999999996</v>
      </c>
      <c r="L62" s="44">
        <v>4200000</v>
      </c>
      <c r="M62" s="44">
        <f>J62+K62-L62</f>
        <v>8481666.0999999996</v>
      </c>
      <c r="N62" s="9">
        <v>0</v>
      </c>
      <c r="O62" s="44">
        <v>8333457</v>
      </c>
      <c r="P62" s="27">
        <f t="shared" si="33"/>
        <v>148209.09999999963</v>
      </c>
      <c r="Q62" s="9">
        <v>8333457</v>
      </c>
      <c r="R62" s="25">
        <f t="shared" si="16"/>
        <v>0.98252594499092583</v>
      </c>
      <c r="S62" s="9">
        <v>253601</v>
      </c>
      <c r="T62" s="10">
        <v>253601</v>
      </c>
    </row>
    <row r="63" spans="1:20" s="6" customFormat="1" ht="24.7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7" t="s">
        <v>37</v>
      </c>
      <c r="G63" s="23" t="s">
        <v>119</v>
      </c>
      <c r="H63" s="7" t="s">
        <v>5</v>
      </c>
      <c r="I63" s="8" t="s">
        <v>6</v>
      </c>
      <c r="J63" s="44">
        <v>102299498</v>
      </c>
      <c r="K63" s="44">
        <f>388320+4816875+1600000+554842+2400000+26611424+16188680+93837314+38659368+6500000+1286619+462107+408916+23239408.92+5000000+300000+495910+383280+6822361+407204+635000+30176231+1756440+173466</f>
        <v>263103765.92000002</v>
      </c>
      <c r="L63" s="44">
        <f>655801+2789620+713338+2190200+2350000+2120+2001800</f>
        <v>10702879</v>
      </c>
      <c r="M63" s="44">
        <f t="shared" si="32"/>
        <v>354700384.92000002</v>
      </c>
      <c r="N63" s="9">
        <v>0</v>
      </c>
      <c r="O63" s="44">
        <v>337961678.05000001</v>
      </c>
      <c r="P63" s="27">
        <f t="shared" si="33"/>
        <v>16738706.870000005</v>
      </c>
      <c r="Q63" s="9">
        <v>336052002.05000001</v>
      </c>
      <c r="R63" s="25">
        <f t="shared" si="16"/>
        <v>0.94742497143270366</v>
      </c>
      <c r="S63" s="9">
        <v>53616953.049999997</v>
      </c>
      <c r="T63" s="10">
        <v>53616953.049999997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5" t="s">
        <v>39</v>
      </c>
      <c r="G64" s="23" t="s">
        <v>107</v>
      </c>
      <c r="H64" s="7" t="s">
        <v>5</v>
      </c>
      <c r="I64" s="8" t="s">
        <v>6</v>
      </c>
      <c r="J64" s="44"/>
      <c r="K64" s="44">
        <f>1600000+936058+17988+1500000+558124+12240457</f>
        <v>16852627</v>
      </c>
      <c r="L64" s="44">
        <f>1600000+12240457</f>
        <v>13840457</v>
      </c>
      <c r="M64" s="44">
        <f t="shared" si="32"/>
        <v>3012170</v>
      </c>
      <c r="N64" s="9">
        <v>0</v>
      </c>
      <c r="O64" s="44">
        <v>2994182</v>
      </c>
      <c r="P64" s="27">
        <f t="shared" si="33"/>
        <v>17988</v>
      </c>
      <c r="Q64" s="9">
        <v>2994182</v>
      </c>
      <c r="R64" s="25">
        <f t="shared" si="16"/>
        <v>0.99402822549856085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5" t="s">
        <v>40</v>
      </c>
      <c r="G65" s="23" t="s">
        <v>108</v>
      </c>
      <c r="H65" s="7" t="s">
        <v>5</v>
      </c>
      <c r="I65" s="8" t="s">
        <v>6</v>
      </c>
      <c r="J65" s="44"/>
      <c r="K65" s="44">
        <f>2295000+197248+35355649+11752560+7000000</f>
        <v>56600457</v>
      </c>
      <c r="L65" s="44">
        <f>98624+11561067+37749273</f>
        <v>49408964</v>
      </c>
      <c r="M65" s="44">
        <f t="shared" ref="M65" si="34">J65+K65-L65</f>
        <v>7191493</v>
      </c>
      <c r="N65" s="9">
        <v>0</v>
      </c>
      <c r="O65" s="44">
        <v>7000000</v>
      </c>
      <c r="P65" s="27">
        <f t="shared" ref="P65" si="35">+M65-O65-N65</f>
        <v>191493</v>
      </c>
      <c r="Q65" s="9">
        <v>7000000</v>
      </c>
      <c r="R65" s="25">
        <f t="shared" ref="R65" si="36">IF(Q65&gt;1,Q65/(M65),0)</f>
        <v>0.97337228861934511</v>
      </c>
      <c r="S65" s="9">
        <v>0</v>
      </c>
      <c r="T65" s="10">
        <v>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42</v>
      </c>
      <c r="G66" s="23" t="s">
        <v>120</v>
      </c>
      <c r="H66" s="7" t="s">
        <v>5</v>
      </c>
      <c r="I66" s="8" t="s">
        <v>6</v>
      </c>
      <c r="J66" s="44">
        <v>4615110</v>
      </c>
      <c r="K66" s="44">
        <f>983880+370549+1014273+2653516+1076530+9665563+1146565+4200000</f>
        <v>21110876</v>
      </c>
      <c r="L66" s="44">
        <f>370549+1134</f>
        <v>371683</v>
      </c>
      <c r="M66" s="44">
        <f>J66+K66-L66</f>
        <v>25354303</v>
      </c>
      <c r="N66" s="9">
        <v>0</v>
      </c>
      <c r="O66" s="44">
        <v>24339002</v>
      </c>
      <c r="P66" s="27">
        <f t="shared" si="33"/>
        <v>1015301</v>
      </c>
      <c r="Q66" s="9">
        <v>18992437</v>
      </c>
      <c r="R66" s="25">
        <f t="shared" si="16"/>
        <v>0.74908140839052051</v>
      </c>
      <c r="S66" s="9">
        <v>983880</v>
      </c>
      <c r="T66" s="10">
        <v>983880</v>
      </c>
    </row>
    <row r="67" spans="1:20" s="6" customFormat="1" ht="16.5" x14ac:dyDescent="0.25">
      <c r="A67" s="91" t="s">
        <v>3</v>
      </c>
      <c r="B67" s="7" t="s">
        <v>50</v>
      </c>
      <c r="C67" s="7" t="s">
        <v>50</v>
      </c>
      <c r="D67" s="7" t="s">
        <v>34</v>
      </c>
      <c r="E67" s="7" t="s">
        <v>40</v>
      </c>
      <c r="F67" s="7" t="s">
        <v>43</v>
      </c>
      <c r="G67" s="23" t="s">
        <v>121</v>
      </c>
      <c r="H67" s="7" t="s">
        <v>5</v>
      </c>
      <c r="I67" s="8" t="s">
        <v>6</v>
      </c>
      <c r="J67" s="44">
        <v>32000000</v>
      </c>
      <c r="K67" s="44">
        <f>10739512+9409250+639000+2873092+5102333+38240462+6000000+7231116+128078849.37+4000000+30000000+39994461+200000+5600448+68889312</f>
        <v>356997835.37</v>
      </c>
      <c r="L67" s="44">
        <f>1436546+1598160+291266+3606131+1600000+9000</f>
        <v>8541103</v>
      </c>
      <c r="M67" s="44">
        <f t="shared" si="32"/>
        <v>380456732.37</v>
      </c>
      <c r="N67" s="9">
        <v>0</v>
      </c>
      <c r="O67" s="44">
        <v>291424942.39999998</v>
      </c>
      <c r="P67" s="27">
        <f t="shared" si="33"/>
        <v>89031789.970000029</v>
      </c>
      <c r="Q67" s="9">
        <v>291424942.39999998</v>
      </c>
      <c r="R67" s="25">
        <f t="shared" si="16"/>
        <v>0.76598708238019753</v>
      </c>
      <c r="S67" s="9">
        <v>21855341.199999999</v>
      </c>
      <c r="T67" s="10">
        <v>21855341.199999999</v>
      </c>
    </row>
    <row r="68" spans="1:20" s="6" customFormat="1" ht="24.75" x14ac:dyDescent="0.25">
      <c r="A68" s="91" t="s">
        <v>3</v>
      </c>
      <c r="B68" s="7" t="s">
        <v>50</v>
      </c>
      <c r="C68" s="65" t="s">
        <v>50</v>
      </c>
      <c r="D68" s="7" t="s">
        <v>34</v>
      </c>
      <c r="E68" s="7" t="s">
        <v>40</v>
      </c>
      <c r="F68" s="7" t="s">
        <v>45</v>
      </c>
      <c r="G68" s="23" t="s">
        <v>140</v>
      </c>
      <c r="H68" s="7" t="s">
        <v>5</v>
      </c>
      <c r="I68" s="8" t="s">
        <v>6</v>
      </c>
      <c r="J68" s="44">
        <v>10100000</v>
      </c>
      <c r="K68" s="44">
        <f>48000+26180+651840+17687251+62914+1556580+14342404+205417+258273+6650+15671511+1567106+56294+2795572</f>
        <v>54935992</v>
      </c>
      <c r="L68" s="44">
        <f>10000000+22666</f>
        <v>10022666</v>
      </c>
      <c r="M68" s="44">
        <f t="shared" si="32"/>
        <v>55013326</v>
      </c>
      <c r="N68" s="9">
        <v>0</v>
      </c>
      <c r="O68" s="44">
        <v>39308372</v>
      </c>
      <c r="P68" s="27">
        <f>+M68-O68-N68</f>
        <v>15704954</v>
      </c>
      <c r="Q68" s="9">
        <v>36512800</v>
      </c>
      <c r="R68" s="25">
        <f t="shared" si="16"/>
        <v>0.66370828042645524</v>
      </c>
      <c r="S68" s="9">
        <v>2325754</v>
      </c>
      <c r="T68" s="10">
        <v>2325754</v>
      </c>
    </row>
    <row r="69" spans="1:20" s="6" customFormat="1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42</v>
      </c>
      <c r="F69" s="7" t="s">
        <v>40</v>
      </c>
      <c r="G69" s="23" t="s">
        <v>123</v>
      </c>
      <c r="H69" s="7" t="s">
        <v>5</v>
      </c>
      <c r="I69" s="8" t="s">
        <v>6</v>
      </c>
      <c r="J69" s="44">
        <v>15000000</v>
      </c>
      <c r="K69" s="44">
        <f>2603977.54+1075658299+670000000+1078267925+218500000+819367038+212313923+2.7+49911800</f>
        <v>4126622965.2399998</v>
      </c>
      <c r="L69" s="44"/>
      <c r="M69" s="44">
        <f t="shared" si="32"/>
        <v>4141622965.2399998</v>
      </c>
      <c r="N69" s="9">
        <v>0</v>
      </c>
      <c r="O69" s="44">
        <v>4126622964.54</v>
      </c>
      <c r="P69" s="27">
        <f>+M69-O69-N69</f>
        <v>15000000.699999809</v>
      </c>
      <c r="Q69" s="9">
        <v>2578134692.54</v>
      </c>
      <c r="R69" s="25">
        <f t="shared" si="16"/>
        <v>0.62249381804618265</v>
      </c>
      <c r="S69" s="9">
        <v>2603977.54</v>
      </c>
      <c r="T69" s="10">
        <v>2603977.54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40</v>
      </c>
      <c r="G70" s="23" t="s">
        <v>124</v>
      </c>
      <c r="H70" s="7" t="s">
        <v>5</v>
      </c>
      <c r="I70" s="8" t="s">
        <v>6</v>
      </c>
      <c r="J70" s="44">
        <v>943654750</v>
      </c>
      <c r="K70" s="44">
        <f>3000000</f>
        <v>3000000</v>
      </c>
      <c r="L70" s="44">
        <f>10000000+33000000+15000000</f>
        <v>58000000</v>
      </c>
      <c r="M70" s="44">
        <f t="shared" si="32"/>
        <v>888654750</v>
      </c>
      <c r="N70" s="9">
        <v>0</v>
      </c>
      <c r="O70" s="44">
        <v>888654750</v>
      </c>
      <c r="P70" s="27">
        <f t="shared" si="33"/>
        <v>0</v>
      </c>
      <c r="Q70" s="9">
        <v>830257197</v>
      </c>
      <c r="R70" s="25">
        <f t="shared" si="16"/>
        <v>0.93428544325003604</v>
      </c>
      <c r="S70" s="9">
        <v>574558547</v>
      </c>
      <c r="T70" s="10">
        <v>573755347</v>
      </c>
    </row>
    <row r="71" spans="1:20" s="6" customFormat="1" ht="16.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42</v>
      </c>
      <c r="G71" s="23" t="s">
        <v>125</v>
      </c>
      <c r="H71" s="7" t="s">
        <v>5</v>
      </c>
      <c r="I71" s="8" t="s">
        <v>6</v>
      </c>
      <c r="J71" s="44">
        <v>241200000</v>
      </c>
      <c r="K71" s="44"/>
      <c r="L71" s="44"/>
      <c r="M71" s="44">
        <f t="shared" si="32"/>
        <v>241200000</v>
      </c>
      <c r="N71" s="9">
        <v>0</v>
      </c>
      <c r="O71" s="44">
        <v>241200000</v>
      </c>
      <c r="P71" s="27">
        <f t="shared" si="33"/>
        <v>0</v>
      </c>
      <c r="Q71" s="9">
        <v>241200000</v>
      </c>
      <c r="R71" s="25">
        <f t="shared" si="16"/>
        <v>1</v>
      </c>
      <c r="S71" s="9">
        <v>55822120</v>
      </c>
      <c r="T71" s="10">
        <v>55822120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45</v>
      </c>
      <c r="G72" s="23" t="s">
        <v>126</v>
      </c>
      <c r="H72" s="7" t="s">
        <v>5</v>
      </c>
      <c r="I72" s="8" t="s">
        <v>6</v>
      </c>
      <c r="J72" s="44">
        <v>202620006</v>
      </c>
      <c r="K72" s="44"/>
      <c r="L72" s="44"/>
      <c r="M72" s="44">
        <f t="shared" si="32"/>
        <v>202620006</v>
      </c>
      <c r="N72" s="9">
        <v>0</v>
      </c>
      <c r="O72" s="44">
        <v>202620000</v>
      </c>
      <c r="P72" s="27">
        <f t="shared" si="33"/>
        <v>6</v>
      </c>
      <c r="Q72" s="9">
        <v>202620000</v>
      </c>
      <c r="R72" s="25">
        <f t="shared" si="16"/>
        <v>0.9999999703879191</v>
      </c>
      <c r="S72" s="9">
        <v>110923623</v>
      </c>
      <c r="T72" s="10">
        <v>110923623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127</v>
      </c>
      <c r="H73" s="7" t="s">
        <v>5</v>
      </c>
      <c r="I73" s="8" t="s">
        <v>6</v>
      </c>
      <c r="J73" s="44">
        <v>5734282670</v>
      </c>
      <c r="K73" s="44">
        <f>44585939</f>
        <v>44585939</v>
      </c>
      <c r="L73" s="44">
        <f>2500000+30000000+1100000+11011000+817800+418739038+146182615+205529415+64018336+40004212+1567106+56294+45981664+19000000+202300000+50700168.87+32328954+13000000+30000000+2170936+1135494+25000000+18500000+76406755</f>
        <v>1438049787.8699999</v>
      </c>
      <c r="M73" s="44">
        <f>J73+K73-L73</f>
        <v>4340818821.1300001</v>
      </c>
      <c r="N73" s="9">
        <v>0</v>
      </c>
      <c r="O73" s="44">
        <v>3269984965.3499999</v>
      </c>
      <c r="P73" s="27">
        <f t="shared" si="33"/>
        <v>1070833855.7800002</v>
      </c>
      <c r="Q73" s="9">
        <v>3269984965.3499999</v>
      </c>
      <c r="R73" s="25">
        <f t="shared" si="16"/>
        <v>0.75331063103406803</v>
      </c>
      <c r="S73" s="9">
        <v>3256801317.3499999</v>
      </c>
      <c r="T73" s="10">
        <v>3256801317.3499999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127</v>
      </c>
      <c r="H74" s="7" t="s">
        <v>8</v>
      </c>
      <c r="I74" s="8" t="s">
        <v>9</v>
      </c>
      <c r="J74" s="44">
        <v>950000000</v>
      </c>
      <c r="K74" s="44"/>
      <c r="L74" s="44">
        <v>50000000</v>
      </c>
      <c r="M74" s="44">
        <f t="shared" si="32"/>
        <v>900000000</v>
      </c>
      <c r="N74" s="9">
        <v>0</v>
      </c>
      <c r="O74" s="44">
        <v>622070637.04999995</v>
      </c>
      <c r="P74" s="27">
        <f t="shared" si="33"/>
        <v>277929362.95000005</v>
      </c>
      <c r="Q74" s="9">
        <v>622070637.04999995</v>
      </c>
      <c r="R74" s="25">
        <f t="shared" si="16"/>
        <v>0.69118959672222213</v>
      </c>
      <c r="S74" s="9">
        <v>622067457.04999995</v>
      </c>
      <c r="T74" s="10">
        <v>620439257.04999995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127</v>
      </c>
      <c r="H75" s="7" t="s">
        <v>8</v>
      </c>
      <c r="I75" s="8">
        <v>21</v>
      </c>
      <c r="J75" s="44">
        <v>475113000</v>
      </c>
      <c r="K75" s="44"/>
      <c r="L75" s="44"/>
      <c r="M75" s="44">
        <f t="shared" si="32"/>
        <v>475113000</v>
      </c>
      <c r="N75" s="9">
        <v>0</v>
      </c>
      <c r="O75" s="44">
        <v>475113000</v>
      </c>
      <c r="P75" s="27">
        <f t="shared" si="33"/>
        <v>0</v>
      </c>
      <c r="Q75" s="9">
        <v>475113000</v>
      </c>
      <c r="R75" s="25">
        <f t="shared" si="16"/>
        <v>1</v>
      </c>
      <c r="S75" s="9">
        <v>475113000</v>
      </c>
      <c r="T75" s="10">
        <v>475113000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7" t="s">
        <v>35</v>
      </c>
      <c r="G76" s="23" t="s">
        <v>128</v>
      </c>
      <c r="H76" s="7" t="s">
        <v>5</v>
      </c>
      <c r="I76" s="8" t="s">
        <v>6</v>
      </c>
      <c r="J76" s="44">
        <v>5439474317</v>
      </c>
      <c r="K76" s="44"/>
      <c r="L76" s="44">
        <f>391500</f>
        <v>391500</v>
      </c>
      <c r="M76" s="44">
        <f t="shared" si="32"/>
        <v>5439082817</v>
      </c>
      <c r="N76" s="9">
        <v>0</v>
      </c>
      <c r="O76" s="44">
        <v>5390430892.4799995</v>
      </c>
      <c r="P76" s="27">
        <f t="shared" si="33"/>
        <v>48651924.520000458</v>
      </c>
      <c r="Q76" s="9">
        <v>5390430892.4799995</v>
      </c>
      <c r="R76" s="25">
        <f t="shared" si="16"/>
        <v>0.99105512341751123</v>
      </c>
      <c r="S76" s="9">
        <v>5390324992</v>
      </c>
      <c r="T76" s="10">
        <v>5390324992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65" t="s">
        <v>37</v>
      </c>
      <c r="G77" s="23" t="s">
        <v>129</v>
      </c>
      <c r="H77" s="7" t="s">
        <v>5</v>
      </c>
      <c r="I77" s="8" t="s">
        <v>6</v>
      </c>
      <c r="J77" s="44">
        <v>2697677288</v>
      </c>
      <c r="K77" s="44"/>
      <c r="L77" s="44">
        <v>4543116</v>
      </c>
      <c r="M77" s="44">
        <f t="shared" si="32"/>
        <v>2693134172</v>
      </c>
      <c r="N77" s="9">
        <v>0</v>
      </c>
      <c r="O77" s="44">
        <v>2668575073</v>
      </c>
      <c r="P77" s="27">
        <f t="shared" si="33"/>
        <v>24559099</v>
      </c>
      <c r="Q77" s="9">
        <v>2668575073</v>
      </c>
      <c r="R77" s="25">
        <f t="shared" si="16"/>
        <v>0.99088084832336376</v>
      </c>
      <c r="S77" s="9">
        <v>2118850977</v>
      </c>
      <c r="T77" s="10">
        <v>2062172324</v>
      </c>
    </row>
    <row r="78" spans="1:20" s="6" customFormat="1" ht="16.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37</v>
      </c>
      <c r="G78" s="107" t="s">
        <v>130</v>
      </c>
      <c r="H78" s="7" t="s">
        <v>5</v>
      </c>
      <c r="I78" s="8" t="s">
        <v>6</v>
      </c>
      <c r="J78" s="44">
        <v>70000</v>
      </c>
      <c r="K78" s="44">
        <f>98400000+500000</f>
        <v>98900000</v>
      </c>
      <c r="L78" s="44"/>
      <c r="M78" s="44">
        <f t="shared" si="32"/>
        <v>98970000</v>
      </c>
      <c r="N78" s="9"/>
      <c r="O78" s="44">
        <v>96451800</v>
      </c>
      <c r="P78" s="27">
        <f t="shared" si="33"/>
        <v>2518200</v>
      </c>
      <c r="Q78" s="9">
        <v>96451800</v>
      </c>
      <c r="R78" s="25">
        <f t="shared" si="16"/>
        <v>0.97455592603819341</v>
      </c>
      <c r="S78" s="9">
        <v>69451800</v>
      </c>
      <c r="T78" s="10">
        <v>69451800</v>
      </c>
    </row>
    <row r="79" spans="1:20" s="6" customFormat="1" ht="41.2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39</v>
      </c>
      <c r="G79" s="23" t="s">
        <v>141</v>
      </c>
      <c r="H79" s="7" t="s">
        <v>5</v>
      </c>
      <c r="I79" s="8" t="s">
        <v>6</v>
      </c>
      <c r="J79" s="44">
        <v>6395104796</v>
      </c>
      <c r="K79" s="44">
        <f>2500000+13808036+1850674+1347784+666729+12385472+107150363+13997771+29523000+10500000+1760274</f>
        <v>195490103</v>
      </c>
      <c r="L79" s="44">
        <f>8701011.61+102410000+98400000+11923800+46000000+412350191+1155658299+1311507044+4261856+350628000+2984472</f>
        <v>3504824673.6100001</v>
      </c>
      <c r="M79" s="44">
        <f>J79+K79-L79</f>
        <v>3085770225.3899999</v>
      </c>
      <c r="N79" s="108">
        <v>0</v>
      </c>
      <c r="O79" s="44">
        <v>3055200907</v>
      </c>
      <c r="P79" s="27">
        <f t="shared" si="33"/>
        <v>30569318.389999866</v>
      </c>
      <c r="Q79" s="9">
        <v>3032386024</v>
      </c>
      <c r="R79" s="25">
        <f t="shared" si="16"/>
        <v>0.98269987799131975</v>
      </c>
      <c r="S79" s="9">
        <v>2751326693</v>
      </c>
      <c r="T79" s="10">
        <v>2748626693</v>
      </c>
    </row>
    <row r="80" spans="1:20" s="6" customFormat="1" ht="33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40</v>
      </c>
      <c r="G80" s="23" t="s">
        <v>131</v>
      </c>
      <c r="H80" s="7" t="s">
        <v>5</v>
      </c>
      <c r="I80" s="8" t="s">
        <v>6</v>
      </c>
      <c r="J80" s="44">
        <v>200840908</v>
      </c>
      <c r="K80" s="44">
        <f>30000000+20000000</f>
        <v>50000000</v>
      </c>
      <c r="L80" s="44">
        <f>22000000+15000000+217490+2000000+6129064</f>
        <v>45346554</v>
      </c>
      <c r="M80" s="44">
        <f t="shared" si="32"/>
        <v>205494354</v>
      </c>
      <c r="N80" s="9">
        <v>0</v>
      </c>
      <c r="O80" s="44">
        <v>133852882.87</v>
      </c>
      <c r="P80" s="27">
        <f t="shared" si="33"/>
        <v>71641471.129999995</v>
      </c>
      <c r="Q80" s="9">
        <v>133852882.87</v>
      </c>
      <c r="R80" s="25">
        <f t="shared" si="16"/>
        <v>0.65137012411542949</v>
      </c>
      <c r="S80" s="9">
        <v>126975315.87</v>
      </c>
      <c r="T80" s="10">
        <v>126975315.87</v>
      </c>
    </row>
    <row r="81" spans="1:259" s="6" customFormat="1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42</v>
      </c>
      <c r="G81" s="23" t="s">
        <v>132</v>
      </c>
      <c r="H81" s="7" t="s">
        <v>5</v>
      </c>
      <c r="I81" s="8" t="s">
        <v>6</v>
      </c>
      <c r="J81" s="44">
        <v>17226804360</v>
      </c>
      <c r="K81" s="44">
        <f>202300000+4621000000</f>
        <v>4823300000</v>
      </c>
      <c r="L81" s="44">
        <f>31751709.15+30311311+13078328+98405831+1500000+17523133+30000000+173144515</f>
        <v>395714827.14999998</v>
      </c>
      <c r="M81" s="44">
        <f>J81+K81-L81</f>
        <v>21654389532.849998</v>
      </c>
      <c r="N81" s="9">
        <f>M81-[1]REP_EPG034_EjecucionPresupuesta!$T$72</f>
        <v>0</v>
      </c>
      <c r="O81" s="44">
        <v>21520519192.84</v>
      </c>
      <c r="P81" s="27">
        <f t="shared" si="33"/>
        <v>133870340.00999832</v>
      </c>
      <c r="Q81" s="9">
        <v>16899519192.84</v>
      </c>
      <c r="R81" s="25">
        <f t="shared" si="16"/>
        <v>0.7804200237186647</v>
      </c>
      <c r="S81" s="9">
        <v>10877687134</v>
      </c>
      <c r="T81" s="10">
        <v>10877687134</v>
      </c>
    </row>
    <row r="82" spans="1:259" s="6" customFormat="1" ht="33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44</v>
      </c>
      <c r="G82" s="23" t="s">
        <v>133</v>
      </c>
      <c r="H82" s="7" t="s">
        <v>5</v>
      </c>
      <c r="I82" s="63" t="s">
        <v>6</v>
      </c>
      <c r="J82" s="44">
        <v>4204679271</v>
      </c>
      <c r="K82" s="44">
        <f>729430.17+1076970+817800+80000000+4236096+191531644+2740117+35064506+81124247+2000000+1135494</f>
        <v>400456304.17000002</v>
      </c>
      <c r="L82" s="44">
        <f>8520080+496000000+38200548+1769586+2043349+64000000+1850674+406500000+29302787+120000000+4425865+4710000+670000000+20921616+218500000+10500000+666729+6500000+1956000+10000000+430000000+116949427+24085405+23903000+3250000+181982984+17056263+14723660+9891010+324707200+9743000+49911800+64010000</f>
        <v>3386580983</v>
      </c>
      <c r="M82" s="44">
        <f>J82+K82-L82</f>
        <v>1218554592.1700001</v>
      </c>
      <c r="N82" s="9">
        <v>0</v>
      </c>
      <c r="O82" s="44">
        <v>855193774.16999996</v>
      </c>
      <c r="P82" s="27">
        <f t="shared" si="33"/>
        <v>363360818.00000012</v>
      </c>
      <c r="Q82" s="9">
        <v>442817157.17000002</v>
      </c>
      <c r="R82" s="25">
        <f t="shared" si="16"/>
        <v>0.36339541947105702</v>
      </c>
      <c r="S82" s="9">
        <v>174911475.16999999</v>
      </c>
      <c r="T82" s="10">
        <v>174321475.16999999</v>
      </c>
    </row>
    <row r="83" spans="1:259" s="6" customFormat="1" ht="24.75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7" t="s">
        <v>39</v>
      </c>
      <c r="G83" s="23" t="s">
        <v>134</v>
      </c>
      <c r="H83" s="7" t="s">
        <v>5</v>
      </c>
      <c r="I83" s="8" t="s">
        <v>6</v>
      </c>
      <c r="J83" s="44">
        <v>441869750</v>
      </c>
      <c r="K83" s="44">
        <f>14306802+50000000+5860016+39032252+37669144+41149000</f>
        <v>188017214</v>
      </c>
      <c r="L83" s="44">
        <f>49570107+22013500+539000+2077309+27977268+16454414</f>
        <v>118631598</v>
      </c>
      <c r="M83" s="44">
        <f>J83+K83-L83</f>
        <v>511255366</v>
      </c>
      <c r="N83" s="9">
        <v>0</v>
      </c>
      <c r="O83" s="44">
        <v>260341953</v>
      </c>
      <c r="P83" s="27">
        <f t="shared" si="33"/>
        <v>250913413</v>
      </c>
      <c r="Q83" s="9">
        <v>260341953</v>
      </c>
      <c r="R83" s="25">
        <f t="shared" si="16"/>
        <v>0.50922096923281979</v>
      </c>
      <c r="S83" s="9">
        <v>0</v>
      </c>
      <c r="T83" s="10">
        <v>0</v>
      </c>
    </row>
    <row r="84" spans="1:259" s="6" customFormat="1" ht="41.2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40</v>
      </c>
      <c r="G84" s="23" t="s">
        <v>135</v>
      </c>
      <c r="H84" s="7" t="s">
        <v>5</v>
      </c>
      <c r="I84" s="8" t="s">
        <v>6</v>
      </c>
      <c r="J84" s="44">
        <v>815493307</v>
      </c>
      <c r="K84" s="44">
        <f>10000000+22000000+12200000+20000000+19000000+15000000+13000000+3000000</f>
        <v>114200000</v>
      </c>
      <c r="L84" s="44">
        <f>98200598+258273+5000000</f>
        <v>103458871</v>
      </c>
      <c r="M84" s="44">
        <f t="shared" si="32"/>
        <v>826234436</v>
      </c>
      <c r="N84" s="9">
        <v>0</v>
      </c>
      <c r="O84" s="44">
        <v>711754195.35000002</v>
      </c>
      <c r="P84" s="27">
        <f t="shared" si="33"/>
        <v>114480240.64999998</v>
      </c>
      <c r="Q84" s="9">
        <v>696754195.35000002</v>
      </c>
      <c r="R84" s="25">
        <f t="shared" si="16"/>
        <v>0.84328873863349851</v>
      </c>
      <c r="S84" s="9">
        <v>594541758.23000002</v>
      </c>
      <c r="T84" s="10">
        <v>585945542.23000002</v>
      </c>
    </row>
    <row r="85" spans="1:259" s="6" customFormat="1" ht="16.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65" t="s">
        <v>43</v>
      </c>
      <c r="G85" s="23" t="s">
        <v>142</v>
      </c>
      <c r="H85" s="7" t="s">
        <v>5</v>
      </c>
      <c r="I85" s="8" t="s">
        <v>6</v>
      </c>
      <c r="J85" s="44">
        <v>786597200</v>
      </c>
      <c r="K85" s="44">
        <f>1514800+1956000+11451971+737800+107800</f>
        <v>15768371</v>
      </c>
      <c r="L85" s="44">
        <f>50000000+9048000</f>
        <v>59048000</v>
      </c>
      <c r="M85" s="44">
        <f>J85+K85-L85</f>
        <v>743317571</v>
      </c>
      <c r="N85" s="9">
        <v>0</v>
      </c>
      <c r="O85" s="44">
        <v>721731525</v>
      </c>
      <c r="P85" s="27">
        <f t="shared" si="33"/>
        <v>21586046</v>
      </c>
      <c r="Q85" s="9">
        <v>721731525</v>
      </c>
      <c r="R85" s="25">
        <f t="shared" si="16"/>
        <v>0.97095986043897786</v>
      </c>
      <c r="S85" s="9">
        <v>79927431.480000004</v>
      </c>
      <c r="T85" s="10">
        <v>79927431.480000004</v>
      </c>
      <c r="BD85" s="6">
        <v>408287880</v>
      </c>
      <c r="BE85" s="6">
        <v>408287880</v>
      </c>
      <c r="BF85" s="6">
        <v>408287880</v>
      </c>
      <c r="BG85" s="6">
        <v>408287880</v>
      </c>
      <c r="BH85" s="6">
        <v>408287880</v>
      </c>
      <c r="BI85" s="6">
        <v>408287880</v>
      </c>
      <c r="BJ85" s="6">
        <v>408287880</v>
      </c>
      <c r="BK85" s="6">
        <v>408287880</v>
      </c>
      <c r="BL85" s="6">
        <v>408287880</v>
      </c>
      <c r="BM85" s="6">
        <v>408287880</v>
      </c>
      <c r="BN85" s="6">
        <v>408287880</v>
      </c>
      <c r="BO85" s="6">
        <v>408287880</v>
      </c>
      <c r="BP85" s="6">
        <v>408287880</v>
      </c>
      <c r="BQ85" s="6">
        <v>408287880</v>
      </c>
      <c r="BR85" s="6">
        <v>408287880</v>
      </c>
      <c r="BS85" s="6">
        <v>408287880</v>
      </c>
      <c r="BT85" s="6">
        <v>408287880</v>
      </c>
      <c r="BU85" s="6">
        <v>408287880</v>
      </c>
      <c r="BV85" s="6">
        <v>408287880</v>
      </c>
      <c r="BW85" s="6">
        <v>408287880</v>
      </c>
      <c r="BX85" s="6">
        <v>408287880</v>
      </c>
      <c r="BY85" s="6">
        <v>408287880</v>
      </c>
      <c r="BZ85" s="6">
        <v>408287880</v>
      </c>
      <c r="CA85" s="6">
        <v>408287880</v>
      </c>
      <c r="CB85" s="6">
        <v>408287880</v>
      </c>
      <c r="CC85" s="6">
        <v>408287880</v>
      </c>
      <c r="CD85" s="6">
        <v>408287880</v>
      </c>
      <c r="CE85" s="6">
        <v>408287880</v>
      </c>
      <c r="CF85" s="6">
        <v>408287880</v>
      </c>
      <c r="CG85" s="6">
        <v>408287880</v>
      </c>
      <c r="CH85" s="6">
        <v>408287880</v>
      </c>
      <c r="CI85" s="6">
        <v>408287880</v>
      </c>
      <c r="CJ85" s="6">
        <v>408287880</v>
      </c>
      <c r="CK85" s="6">
        <v>408287880</v>
      </c>
      <c r="CL85" s="6">
        <v>408287880</v>
      </c>
      <c r="CM85" s="6">
        <v>408287880</v>
      </c>
      <c r="CN85" s="6">
        <v>408287880</v>
      </c>
      <c r="CO85" s="6">
        <v>408287880</v>
      </c>
      <c r="CP85" s="6">
        <v>408287880</v>
      </c>
      <c r="CQ85" s="6">
        <v>408287880</v>
      </c>
      <c r="CR85" s="6">
        <v>408287880</v>
      </c>
      <c r="CS85" s="6">
        <v>408287880</v>
      </c>
      <c r="CT85" s="6">
        <v>408287880</v>
      </c>
      <c r="CU85" s="6">
        <v>408287880</v>
      </c>
      <c r="CV85" s="6">
        <v>408287880</v>
      </c>
      <c r="CW85" s="6">
        <v>408287880</v>
      </c>
      <c r="CX85" s="6">
        <v>408287880</v>
      </c>
      <c r="CY85" s="6">
        <v>408287880</v>
      </c>
      <c r="CZ85" s="6">
        <v>408287880</v>
      </c>
      <c r="DA85" s="6">
        <v>408287880</v>
      </c>
      <c r="DB85" s="6">
        <v>408287880</v>
      </c>
      <c r="DC85" s="6">
        <v>408287880</v>
      </c>
      <c r="DD85" s="6">
        <v>408287880</v>
      </c>
      <c r="DE85" s="6">
        <v>408287880</v>
      </c>
      <c r="DF85" s="6">
        <v>408287880</v>
      </c>
      <c r="DG85" s="6">
        <v>408287880</v>
      </c>
      <c r="DH85" s="6">
        <v>408287880</v>
      </c>
      <c r="DI85" s="6">
        <v>408287880</v>
      </c>
      <c r="DJ85" s="6">
        <v>408287880</v>
      </c>
      <c r="DK85" s="6">
        <v>408287880</v>
      </c>
      <c r="DL85" s="6">
        <v>408287880</v>
      </c>
      <c r="DM85" s="6">
        <v>408287880</v>
      </c>
      <c r="DN85" s="6">
        <v>408287880</v>
      </c>
      <c r="DO85" s="6">
        <v>408287880</v>
      </c>
      <c r="DP85" s="6">
        <v>408287880</v>
      </c>
      <c r="DQ85" s="6">
        <v>408287880</v>
      </c>
      <c r="DR85" s="6">
        <v>408287880</v>
      </c>
      <c r="DS85" s="6">
        <v>408287880</v>
      </c>
      <c r="DT85" s="6">
        <v>408287880</v>
      </c>
      <c r="DU85" s="6">
        <v>408287880</v>
      </c>
      <c r="DV85" s="6">
        <v>408287880</v>
      </c>
      <c r="DW85" s="6">
        <v>408287880</v>
      </c>
      <c r="DX85" s="6">
        <v>408287880</v>
      </c>
      <c r="DY85" s="6">
        <v>408287880</v>
      </c>
      <c r="DZ85" s="6">
        <v>408287880</v>
      </c>
      <c r="EA85" s="6">
        <v>408287880</v>
      </c>
      <c r="EB85" s="6">
        <v>408287880</v>
      </c>
      <c r="EC85" s="6">
        <v>408287880</v>
      </c>
      <c r="ED85" s="6">
        <v>408287880</v>
      </c>
      <c r="EE85" s="6">
        <v>408287880</v>
      </c>
      <c r="EF85" s="6">
        <v>408287880</v>
      </c>
      <c r="EG85" s="6">
        <v>408287880</v>
      </c>
      <c r="EH85" s="6">
        <v>408287880</v>
      </c>
      <c r="EI85" s="6">
        <v>408287880</v>
      </c>
      <c r="EJ85" s="6">
        <v>408287880</v>
      </c>
      <c r="EK85" s="6">
        <v>408287880</v>
      </c>
      <c r="EL85" s="6">
        <v>408287880</v>
      </c>
      <c r="EM85" s="6">
        <v>408287880</v>
      </c>
      <c r="EN85" s="6">
        <v>408287880</v>
      </c>
      <c r="EO85" s="6">
        <v>408287880</v>
      </c>
      <c r="EP85" s="6">
        <v>408287880</v>
      </c>
      <c r="EQ85" s="6">
        <v>408287880</v>
      </c>
      <c r="ER85" s="6">
        <v>408287880</v>
      </c>
      <c r="ES85" s="6">
        <v>408287880</v>
      </c>
      <c r="ET85" s="6">
        <v>408287880</v>
      </c>
      <c r="EU85" s="6">
        <v>408287880</v>
      </c>
      <c r="EV85" s="6">
        <v>408287880</v>
      </c>
      <c r="EW85" s="6">
        <v>408287880</v>
      </c>
      <c r="EX85" s="6">
        <v>408287880</v>
      </c>
      <c r="EY85" s="6">
        <v>408287880</v>
      </c>
      <c r="EZ85" s="6">
        <v>408287880</v>
      </c>
      <c r="FA85" s="6">
        <v>408287880</v>
      </c>
      <c r="FB85" s="6">
        <v>408287880</v>
      </c>
      <c r="FC85" s="6">
        <v>408287880</v>
      </c>
      <c r="FD85" s="6">
        <v>408287880</v>
      </c>
      <c r="FE85" s="6">
        <v>408287880</v>
      </c>
      <c r="FF85" s="6">
        <v>408287880</v>
      </c>
      <c r="FG85" s="6">
        <v>408287880</v>
      </c>
      <c r="FH85" s="6">
        <v>408287880</v>
      </c>
      <c r="FI85" s="6">
        <v>408287880</v>
      </c>
      <c r="FJ85" s="6">
        <v>408287880</v>
      </c>
      <c r="FK85" s="6">
        <v>408287880</v>
      </c>
      <c r="FL85" s="6">
        <v>408287880</v>
      </c>
      <c r="FM85" s="6">
        <v>408287880</v>
      </c>
      <c r="FN85" s="6">
        <v>408287880</v>
      </c>
      <c r="FO85" s="6">
        <v>408287880</v>
      </c>
      <c r="FP85" s="6">
        <v>408287880</v>
      </c>
      <c r="FQ85" s="6">
        <v>408287880</v>
      </c>
      <c r="FR85" s="6">
        <v>408287880</v>
      </c>
      <c r="FS85" s="6">
        <v>408287880</v>
      </c>
      <c r="FT85" s="6">
        <v>408287880</v>
      </c>
      <c r="FU85" s="6">
        <v>408287880</v>
      </c>
      <c r="FV85" s="6">
        <v>408287880</v>
      </c>
      <c r="FW85" s="6">
        <v>408287880</v>
      </c>
      <c r="FX85" s="6">
        <v>408287880</v>
      </c>
      <c r="FY85" s="6">
        <v>408287880</v>
      </c>
      <c r="FZ85" s="6">
        <v>408287880</v>
      </c>
      <c r="GA85" s="6">
        <v>408287880</v>
      </c>
      <c r="GB85" s="6">
        <v>408287880</v>
      </c>
      <c r="GC85" s="6">
        <v>408287880</v>
      </c>
      <c r="GD85" s="6">
        <v>408287880</v>
      </c>
      <c r="GE85" s="6">
        <v>408287880</v>
      </c>
      <c r="GF85" s="6">
        <v>408287880</v>
      </c>
      <c r="GG85" s="6">
        <v>408287880</v>
      </c>
      <c r="GH85" s="6">
        <v>408287880</v>
      </c>
      <c r="GI85" s="6">
        <v>408287880</v>
      </c>
      <c r="GJ85" s="6">
        <v>408287880</v>
      </c>
      <c r="GK85" s="6">
        <v>408287880</v>
      </c>
      <c r="GL85" s="6">
        <v>408287880</v>
      </c>
      <c r="GM85" s="6">
        <v>408287880</v>
      </c>
      <c r="GN85" s="6">
        <v>408287880</v>
      </c>
      <c r="GO85" s="6">
        <v>408287880</v>
      </c>
      <c r="GP85" s="6">
        <v>408287880</v>
      </c>
      <c r="GQ85" s="6">
        <v>408287880</v>
      </c>
      <c r="GR85" s="6">
        <v>408287880</v>
      </c>
      <c r="GS85" s="6">
        <v>408287880</v>
      </c>
      <c r="GT85" s="6">
        <v>408287880</v>
      </c>
      <c r="GU85" s="6">
        <v>408287880</v>
      </c>
      <c r="GV85" s="6">
        <v>408287880</v>
      </c>
      <c r="GW85" s="6">
        <v>408287880</v>
      </c>
      <c r="GX85" s="6">
        <v>408287880</v>
      </c>
      <c r="GY85" s="6">
        <v>408287880</v>
      </c>
      <c r="GZ85" s="6">
        <v>408287880</v>
      </c>
      <c r="HA85" s="6">
        <v>408287880</v>
      </c>
      <c r="HB85" s="6">
        <v>408287880</v>
      </c>
      <c r="HC85" s="6">
        <v>408287880</v>
      </c>
      <c r="HD85" s="6">
        <v>408287880</v>
      </c>
      <c r="HE85" s="6">
        <v>408287880</v>
      </c>
      <c r="HF85" s="6">
        <v>408287880</v>
      </c>
      <c r="HG85" s="6">
        <v>408287880</v>
      </c>
      <c r="HH85" s="6">
        <v>408287880</v>
      </c>
      <c r="HI85" s="6">
        <v>408287880</v>
      </c>
      <c r="HJ85" s="6">
        <v>408287880</v>
      </c>
      <c r="HK85" s="6">
        <v>408287880</v>
      </c>
      <c r="HL85" s="6">
        <v>408287880</v>
      </c>
      <c r="HM85" s="6">
        <v>408287880</v>
      </c>
      <c r="HN85" s="6">
        <v>408287880</v>
      </c>
      <c r="HO85" s="6">
        <v>408287880</v>
      </c>
      <c r="HP85" s="6">
        <v>408287880</v>
      </c>
      <c r="HQ85" s="6">
        <v>408287880</v>
      </c>
      <c r="HR85" s="6">
        <v>408287880</v>
      </c>
      <c r="HS85" s="6">
        <v>408287880</v>
      </c>
      <c r="HT85" s="6">
        <v>408287880</v>
      </c>
      <c r="HU85" s="6">
        <v>408287880</v>
      </c>
      <c r="HV85" s="6">
        <v>408287880</v>
      </c>
      <c r="HW85" s="6">
        <v>408287880</v>
      </c>
      <c r="HX85" s="6">
        <v>408287880</v>
      </c>
      <c r="HY85" s="6">
        <v>408287880</v>
      </c>
      <c r="HZ85" s="6">
        <v>408287880</v>
      </c>
      <c r="IA85" s="6">
        <v>408287880</v>
      </c>
      <c r="IB85" s="6">
        <v>408287880</v>
      </c>
      <c r="IC85" s="6">
        <v>408287880</v>
      </c>
      <c r="ID85" s="6">
        <v>408287880</v>
      </c>
      <c r="IE85" s="6">
        <v>408287880</v>
      </c>
      <c r="IF85" s="6">
        <v>408287880</v>
      </c>
      <c r="IG85" s="6">
        <v>408287880</v>
      </c>
      <c r="IH85" s="6">
        <v>408287880</v>
      </c>
      <c r="II85" s="6">
        <v>408287880</v>
      </c>
      <c r="IJ85" s="6">
        <v>408287880</v>
      </c>
      <c r="IK85" s="6">
        <v>408287880</v>
      </c>
      <c r="IL85" s="6">
        <v>408287880</v>
      </c>
      <c r="IM85" s="6">
        <v>408287880</v>
      </c>
      <c r="IN85" s="6">
        <v>408287880</v>
      </c>
      <c r="IO85" s="6">
        <v>408287880</v>
      </c>
      <c r="IP85" s="6">
        <v>408287880</v>
      </c>
      <c r="IQ85" s="6">
        <v>408287880</v>
      </c>
      <c r="IR85" s="6">
        <v>408287880</v>
      </c>
      <c r="IS85" s="6">
        <v>408287880</v>
      </c>
      <c r="IT85" s="6">
        <v>408287880</v>
      </c>
      <c r="IU85" s="6">
        <v>408287880</v>
      </c>
      <c r="IV85" s="6">
        <v>408287880</v>
      </c>
      <c r="IW85" s="6">
        <v>408287880</v>
      </c>
      <c r="IX85" s="6">
        <v>408287880</v>
      </c>
      <c r="IY85" s="6">
        <v>408287880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142</v>
      </c>
      <c r="H86" s="7" t="s">
        <v>5</v>
      </c>
      <c r="I86" s="8">
        <v>20</v>
      </c>
      <c r="J86" s="44">
        <v>0</v>
      </c>
      <c r="K86" s="44">
        <f>50000000</f>
        <v>50000000</v>
      </c>
      <c r="L86" s="44"/>
      <c r="M86" s="44">
        <f>J86+K86-L86</f>
        <v>50000000</v>
      </c>
      <c r="N86" s="9">
        <v>0</v>
      </c>
      <c r="O86" s="44">
        <v>50000000</v>
      </c>
      <c r="P86" s="27">
        <f t="shared" ref="P86" si="37">+M86-O86-N86</f>
        <v>0</v>
      </c>
      <c r="Q86" s="9">
        <v>43020800</v>
      </c>
      <c r="R86" s="25">
        <f t="shared" ref="R86" si="38">IF(Q86&gt;1,Q86/(M86),0)</f>
        <v>0.86041599999999996</v>
      </c>
      <c r="S86" s="9">
        <v>0</v>
      </c>
      <c r="T86" s="10">
        <v>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47</v>
      </c>
      <c r="F87" s="7"/>
      <c r="G87" s="23" t="s">
        <v>73</v>
      </c>
      <c r="H87" s="7" t="s">
        <v>5</v>
      </c>
      <c r="I87" s="8" t="s">
        <v>6</v>
      </c>
      <c r="J87" s="44">
        <v>1797427001</v>
      </c>
      <c r="K87" s="44">
        <f>24196499+50000000+43256831+10000000+15000000+25000000+30000000+25000000+18500000</f>
        <v>240953330</v>
      </c>
      <c r="L87" s="44">
        <f>16000000+10000000</f>
        <v>26000000</v>
      </c>
      <c r="M87" s="44">
        <f>J87+K87-L87</f>
        <v>2012380331</v>
      </c>
      <c r="N87" s="9">
        <v>0</v>
      </c>
      <c r="O87" s="44">
        <v>1987380331</v>
      </c>
      <c r="P87" s="27">
        <f t="shared" si="33"/>
        <v>25000000</v>
      </c>
      <c r="Q87" s="9">
        <v>1645149605</v>
      </c>
      <c r="R87" s="25">
        <f t="shared" si="16"/>
        <v>0.81751425396932087</v>
      </c>
      <c r="S87" s="9">
        <v>1601672696</v>
      </c>
      <c r="T87" s="10">
        <v>1584582065</v>
      </c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5</v>
      </c>
      <c r="I88" s="81" t="s">
        <v>6</v>
      </c>
      <c r="J88" s="64">
        <f>J46+J36</f>
        <v>49726600000</v>
      </c>
      <c r="K88" s="64">
        <f>K46+K36</f>
        <v>14633133201.76</v>
      </c>
      <c r="L88" s="64">
        <f>L46+L36</f>
        <v>10128544168.76</v>
      </c>
      <c r="M88" s="119">
        <f>M46+M36</f>
        <v>54231189033</v>
      </c>
      <c r="N88" s="122">
        <v>0</v>
      </c>
      <c r="O88" s="64">
        <f>O46+O36</f>
        <v>51221560767.699997</v>
      </c>
      <c r="P88" s="64">
        <f t="shared" ref="P88:Q88" si="39">P46+P36</f>
        <v>3009628265.2999988</v>
      </c>
      <c r="Q88" s="64">
        <f t="shared" si="39"/>
        <v>43153010278.699997</v>
      </c>
      <c r="R88" s="76">
        <f t="shared" si="16"/>
        <v>0.79572310783083022</v>
      </c>
      <c r="S88" s="64">
        <f>S46+S36</f>
        <v>29446816790.759998</v>
      </c>
      <c r="T88" s="73">
        <f>T46+T36</f>
        <v>28933851810.309998</v>
      </c>
      <c r="U88" s="32"/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20</v>
      </c>
      <c r="J89" s="64">
        <f>J47</f>
        <v>950000000</v>
      </c>
      <c r="K89" s="64">
        <f>K47</f>
        <v>50000000</v>
      </c>
      <c r="L89" s="64">
        <f t="shared" ref="L89:Q89" si="40">L47</f>
        <v>50000000</v>
      </c>
      <c r="M89" s="64">
        <f t="shared" si="40"/>
        <v>950000000</v>
      </c>
      <c r="N89" s="64">
        <f t="shared" si="40"/>
        <v>0</v>
      </c>
      <c r="O89" s="64">
        <f t="shared" si="40"/>
        <v>672070637.04999995</v>
      </c>
      <c r="P89" s="64">
        <f t="shared" si="40"/>
        <v>277929362.95000005</v>
      </c>
      <c r="Q89" s="64">
        <f t="shared" si="40"/>
        <v>665091437.04999995</v>
      </c>
      <c r="R89" s="76">
        <f t="shared" si="16"/>
        <v>0.70009624952631577</v>
      </c>
      <c r="S89" s="64">
        <f>S47</f>
        <v>622067457.04999995</v>
      </c>
      <c r="T89" s="73">
        <f>T47</f>
        <v>620439257.04999995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21</v>
      </c>
      <c r="J90" s="64">
        <f>J48</f>
        <v>475113000</v>
      </c>
      <c r="K90" s="64">
        <v>0</v>
      </c>
      <c r="L90" s="64">
        <f t="shared" ref="L90:Q91" si="41">L48</f>
        <v>0</v>
      </c>
      <c r="M90" s="64">
        <f t="shared" si="41"/>
        <v>475113000</v>
      </c>
      <c r="N90" s="64">
        <f t="shared" si="41"/>
        <v>0</v>
      </c>
      <c r="O90" s="64">
        <f t="shared" si="41"/>
        <v>475113000</v>
      </c>
      <c r="P90" s="64">
        <f t="shared" si="41"/>
        <v>0</v>
      </c>
      <c r="Q90" s="64">
        <f t="shared" si="41"/>
        <v>475113000</v>
      </c>
      <c r="R90" s="76">
        <f t="shared" si="16"/>
        <v>1</v>
      </c>
      <c r="S90" s="64">
        <f>S48</f>
        <v>475113000</v>
      </c>
      <c r="T90" s="73">
        <f>T48</f>
        <v>475113000</v>
      </c>
      <c r="U90" s="32"/>
    </row>
    <row r="91" spans="1:259" ht="15.75" customHeight="1" thickBot="1" x14ac:dyDescent="0.3">
      <c r="A91" s="136" t="s">
        <v>81</v>
      </c>
      <c r="B91" s="137"/>
      <c r="C91" s="137"/>
      <c r="D91" s="137"/>
      <c r="E91" s="137"/>
      <c r="F91" s="137"/>
      <c r="G91" s="137"/>
      <c r="H91" s="137"/>
      <c r="I91" s="138"/>
      <c r="J91" s="77">
        <f>SUM(J88:J90)</f>
        <v>51151713000</v>
      </c>
      <c r="K91" s="77">
        <f>SUM(K88:K90)</f>
        <v>14683133201.76</v>
      </c>
      <c r="L91" s="77">
        <f>SUM(L88:L90)</f>
        <v>10178544168.76</v>
      </c>
      <c r="M91" s="77">
        <f>SUM(M88:M90)</f>
        <v>55656302033</v>
      </c>
      <c r="N91" s="77">
        <f t="shared" si="41"/>
        <v>0</v>
      </c>
      <c r="O91" s="77">
        <f t="shared" ref="O91:Q91" si="42">SUM(O88:O90)</f>
        <v>52368744404.75</v>
      </c>
      <c r="P91" s="77">
        <f t="shared" si="42"/>
        <v>3287557628.249999</v>
      </c>
      <c r="Q91" s="77">
        <f t="shared" si="42"/>
        <v>44293214715.75</v>
      </c>
      <c r="R91" s="76">
        <f t="shared" si="16"/>
        <v>0.79583466917165024</v>
      </c>
      <c r="S91" s="77">
        <f>SUM(S88:S90)</f>
        <v>30543997247.809998</v>
      </c>
      <c r="T91" s="78">
        <f>SUM(T88:T90)</f>
        <v>30029404067.359997</v>
      </c>
    </row>
    <row r="92" spans="1:259" ht="15.75" customHeight="1" thickBot="1" x14ac:dyDescent="0.3">
      <c r="A92" s="130" t="s">
        <v>86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2"/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/>
      <c r="E93" s="11"/>
      <c r="F93" s="11"/>
      <c r="G93" s="12" t="s">
        <v>103</v>
      </c>
      <c r="H93" s="11" t="s">
        <v>5</v>
      </c>
      <c r="I93" s="13">
        <v>10</v>
      </c>
      <c r="J93" s="14">
        <f>J94</f>
        <v>29515700000</v>
      </c>
      <c r="K93" s="14">
        <f t="shared" ref="K93:L93" si="43">K94</f>
        <v>0</v>
      </c>
      <c r="L93" s="24">
        <f t="shared" si="43"/>
        <v>4621000000</v>
      </c>
      <c r="M93" s="24">
        <f t="shared" ref="M93:O94" si="44">M94</f>
        <v>24894700000</v>
      </c>
      <c r="N93" s="14">
        <f>N94</f>
        <v>24894700000</v>
      </c>
      <c r="O93" s="14">
        <f>O94</f>
        <v>0</v>
      </c>
      <c r="P93" s="24">
        <f>P94</f>
        <v>0</v>
      </c>
      <c r="Q93" s="14">
        <f>Q94</f>
        <v>0</v>
      </c>
      <c r="R93" s="50">
        <f t="shared" ref="R93:R104" si="45">IF(Q93&gt;1,Q93/(M93),0)</f>
        <v>0</v>
      </c>
      <c r="S93" s="14">
        <f>S94</f>
        <v>0</v>
      </c>
      <c r="T93" s="22">
        <f>T94</f>
        <v>0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 t="s">
        <v>34</v>
      </c>
      <c r="E94" s="11"/>
      <c r="F94" s="11"/>
      <c r="G94" s="12" t="s">
        <v>88</v>
      </c>
      <c r="H94" s="11" t="s">
        <v>5</v>
      </c>
      <c r="I94" s="13">
        <v>10</v>
      </c>
      <c r="J94" s="14">
        <f>J95</f>
        <v>29515700000</v>
      </c>
      <c r="K94" s="14">
        <f>K95</f>
        <v>0</v>
      </c>
      <c r="L94" s="24">
        <f>L95</f>
        <v>4621000000</v>
      </c>
      <c r="M94" s="24">
        <f t="shared" si="44"/>
        <v>24894700000</v>
      </c>
      <c r="N94" s="14">
        <f t="shared" si="44"/>
        <v>24894700000</v>
      </c>
      <c r="O94" s="14">
        <f t="shared" si="44"/>
        <v>0</v>
      </c>
      <c r="P94" s="24">
        <f>P95</f>
        <v>0</v>
      </c>
      <c r="Q94" s="14">
        <f>Q95</f>
        <v>0</v>
      </c>
      <c r="R94" s="50">
        <f t="shared" si="45"/>
        <v>0</v>
      </c>
      <c r="S94" s="14">
        <f>S95</f>
        <v>0</v>
      </c>
      <c r="T94" s="22">
        <f>T95</f>
        <v>0</v>
      </c>
    </row>
    <row r="95" spans="1:259" s="47" customFormat="1" ht="24.75" customHeight="1" x14ac:dyDescent="0.25">
      <c r="A95" s="91" t="s">
        <v>3</v>
      </c>
      <c r="B95" s="7" t="s">
        <v>51</v>
      </c>
      <c r="C95" s="7" t="s">
        <v>51</v>
      </c>
      <c r="D95" s="7" t="s">
        <v>34</v>
      </c>
      <c r="E95" s="7">
        <v>999</v>
      </c>
      <c r="F95" s="7"/>
      <c r="G95" s="23" t="s">
        <v>227</v>
      </c>
      <c r="H95" s="7" t="s">
        <v>5</v>
      </c>
      <c r="I95" s="8">
        <v>10</v>
      </c>
      <c r="J95" s="27">
        <v>29515700000</v>
      </c>
      <c r="K95" s="27">
        <v>0</v>
      </c>
      <c r="L95" s="27">
        <v>4621000000</v>
      </c>
      <c r="M95" s="27">
        <f t="shared" ref="M95:M102" si="46">J95+K95-L95</f>
        <v>24894700000</v>
      </c>
      <c r="N95" s="27">
        <v>24894700000</v>
      </c>
      <c r="O95" s="9">
        <v>0</v>
      </c>
      <c r="P95" s="27">
        <f>+M95-O95-N95</f>
        <v>0</v>
      </c>
      <c r="Q95" s="9">
        <v>0</v>
      </c>
      <c r="R95" s="50">
        <f t="shared" si="45"/>
        <v>0</v>
      </c>
      <c r="S95" s="9">
        <v>0</v>
      </c>
      <c r="T95" s="10">
        <v>0</v>
      </c>
    </row>
    <row r="96" spans="1:259" s="47" customFormat="1" ht="24.75" customHeight="1" x14ac:dyDescent="0.25">
      <c r="A96" s="90" t="s">
        <v>3</v>
      </c>
      <c r="B96" s="11" t="s">
        <v>51</v>
      </c>
      <c r="C96" s="11" t="s">
        <v>70</v>
      </c>
      <c r="D96" s="11"/>
      <c r="E96" s="11"/>
      <c r="F96" s="11"/>
      <c r="G96" s="12" t="s">
        <v>138</v>
      </c>
      <c r="H96" s="11" t="s">
        <v>5</v>
      </c>
      <c r="I96" s="13">
        <v>10</v>
      </c>
      <c r="J96" s="14">
        <f>J97</f>
        <v>1329700000</v>
      </c>
      <c r="K96" s="24">
        <f t="shared" ref="K96:L97" si="47">K97</f>
        <v>55000000</v>
      </c>
      <c r="L96" s="24">
        <f t="shared" si="47"/>
        <v>55000000</v>
      </c>
      <c r="M96" s="24">
        <f t="shared" si="46"/>
        <v>1329700000</v>
      </c>
      <c r="N96" s="14">
        <v>0</v>
      </c>
      <c r="O96" s="14">
        <f>O97</f>
        <v>1310709141</v>
      </c>
      <c r="P96" s="24">
        <f>P97</f>
        <v>18990859</v>
      </c>
      <c r="Q96" s="14">
        <f t="shared" ref="O96:Q97" si="48">Q97</f>
        <v>1310709141</v>
      </c>
      <c r="R96" s="50">
        <f t="shared" si="45"/>
        <v>0.98571793712867561</v>
      </c>
      <c r="S96" s="14">
        <f>S97</f>
        <v>1310709140</v>
      </c>
      <c r="T96" s="22">
        <f>T97</f>
        <v>1310709140</v>
      </c>
    </row>
    <row r="97" spans="1:27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 t="s">
        <v>50</v>
      </c>
      <c r="E97" s="11"/>
      <c r="F97" s="11"/>
      <c r="G97" s="12" t="s">
        <v>104</v>
      </c>
      <c r="H97" s="11" t="s">
        <v>5</v>
      </c>
      <c r="I97" s="13">
        <v>10</v>
      </c>
      <c r="J97" s="24">
        <f>J98</f>
        <v>1329700000</v>
      </c>
      <c r="K97" s="24">
        <f t="shared" si="47"/>
        <v>55000000</v>
      </c>
      <c r="L97" s="24">
        <f t="shared" si="47"/>
        <v>55000000</v>
      </c>
      <c r="M97" s="24">
        <f t="shared" si="46"/>
        <v>1329700000</v>
      </c>
      <c r="N97" s="24"/>
      <c r="O97" s="24">
        <f t="shared" si="48"/>
        <v>1310709141</v>
      </c>
      <c r="P97" s="24">
        <f t="shared" si="48"/>
        <v>18990859</v>
      </c>
      <c r="Q97" s="14">
        <f t="shared" si="48"/>
        <v>1310709141</v>
      </c>
      <c r="R97" s="50">
        <f t="shared" si="45"/>
        <v>0.98571793712867561</v>
      </c>
      <c r="S97" s="14">
        <f>S98</f>
        <v>1310709140</v>
      </c>
      <c r="T97" s="22">
        <f>T98</f>
        <v>1310709140</v>
      </c>
    </row>
    <row r="98" spans="1:27" s="6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 t="s">
        <v>71</v>
      </c>
      <c r="F98" s="11"/>
      <c r="G98" s="12" t="s">
        <v>228</v>
      </c>
      <c r="H98" s="11" t="s">
        <v>5</v>
      </c>
      <c r="I98" s="13">
        <v>10</v>
      </c>
      <c r="J98" s="24">
        <f>J99+J100</f>
        <v>1329700000</v>
      </c>
      <c r="K98" s="24">
        <f t="shared" ref="K98:L98" si="49">K99+K100</f>
        <v>55000000</v>
      </c>
      <c r="L98" s="24">
        <f t="shared" si="49"/>
        <v>55000000</v>
      </c>
      <c r="M98" s="24">
        <f t="shared" si="46"/>
        <v>1329700000</v>
      </c>
      <c r="N98" s="24">
        <f>N99+N100</f>
        <v>0</v>
      </c>
      <c r="O98" s="24">
        <f>O99+O100</f>
        <v>1310709141</v>
      </c>
      <c r="P98" s="24">
        <f>P99+P100</f>
        <v>18990859</v>
      </c>
      <c r="Q98" s="24">
        <f>Q99+Q100</f>
        <v>1310709141</v>
      </c>
      <c r="R98" s="26">
        <f>IF(Q98&gt;1,Q98/(M98),0)</f>
        <v>0.98571793712867561</v>
      </c>
      <c r="S98" s="14">
        <f>S99+S100</f>
        <v>1310709140</v>
      </c>
      <c r="T98" s="22">
        <f>T99+T100</f>
        <v>1310709140</v>
      </c>
    </row>
    <row r="99" spans="1:27" s="6" customFormat="1" ht="16.5" customHeight="1" x14ac:dyDescent="0.25">
      <c r="A99" s="91" t="s">
        <v>3</v>
      </c>
      <c r="B99" s="7" t="s">
        <v>51</v>
      </c>
      <c r="C99" s="7" t="s">
        <v>70</v>
      </c>
      <c r="D99" s="7" t="s">
        <v>50</v>
      </c>
      <c r="E99" s="7" t="s">
        <v>71</v>
      </c>
      <c r="F99" s="7" t="s">
        <v>35</v>
      </c>
      <c r="G99" s="23" t="s">
        <v>74</v>
      </c>
      <c r="H99" s="7" t="s">
        <v>5</v>
      </c>
      <c r="I99" s="7" t="s">
        <v>6</v>
      </c>
      <c r="J99" s="27">
        <v>840300740</v>
      </c>
      <c r="K99" s="27">
        <f>40000000</f>
        <v>40000000</v>
      </c>
      <c r="L99" s="27">
        <f>15000000</f>
        <v>15000000</v>
      </c>
      <c r="M99" s="27">
        <f t="shared" si="46"/>
        <v>865300740</v>
      </c>
      <c r="N99" s="9"/>
      <c r="O99" s="27">
        <v>850988489</v>
      </c>
      <c r="P99" s="27">
        <f>+M99-O99-N99</f>
        <v>14312251</v>
      </c>
      <c r="Q99" s="27">
        <v>850988489</v>
      </c>
      <c r="R99" s="25">
        <f t="shared" si="45"/>
        <v>0.98345979572373876</v>
      </c>
      <c r="S99" s="27">
        <v>850988488</v>
      </c>
      <c r="T99" s="51">
        <v>850988488</v>
      </c>
    </row>
    <row r="100" spans="1:27" s="47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37</v>
      </c>
      <c r="G100" s="23" t="s">
        <v>75</v>
      </c>
      <c r="H100" s="7" t="s">
        <v>5</v>
      </c>
      <c r="I100" s="7" t="s">
        <v>6</v>
      </c>
      <c r="J100" s="27">
        <v>489399260</v>
      </c>
      <c r="K100" s="27">
        <f>15000000</f>
        <v>15000000</v>
      </c>
      <c r="L100" s="27">
        <v>40000000</v>
      </c>
      <c r="M100" s="27">
        <f t="shared" si="46"/>
        <v>464399260</v>
      </c>
      <c r="N100" s="9">
        <v>0</v>
      </c>
      <c r="O100" s="27">
        <v>459720652</v>
      </c>
      <c r="P100" s="27">
        <f>+M100-O100-N100</f>
        <v>4678608</v>
      </c>
      <c r="Q100" s="27">
        <v>459720652</v>
      </c>
      <c r="R100" s="25">
        <f t="shared" si="45"/>
        <v>0.98992546198286357</v>
      </c>
      <c r="S100" s="27">
        <v>459720652</v>
      </c>
      <c r="T100" s="51">
        <v>459720652</v>
      </c>
    </row>
    <row r="101" spans="1:27" s="6" customFormat="1" ht="16.5" customHeight="1" x14ac:dyDescent="0.25">
      <c r="A101" s="90" t="s">
        <v>3</v>
      </c>
      <c r="B101" s="11" t="s">
        <v>51</v>
      </c>
      <c r="C101" s="11" t="s">
        <v>6</v>
      </c>
      <c r="D101" s="11"/>
      <c r="E101" s="11"/>
      <c r="F101" s="11"/>
      <c r="G101" s="12" t="s">
        <v>85</v>
      </c>
      <c r="H101" s="11" t="s">
        <v>5</v>
      </c>
      <c r="I101" s="11">
        <v>11</v>
      </c>
      <c r="J101" s="24">
        <f>J102</f>
        <v>0</v>
      </c>
      <c r="K101" s="24">
        <f>K102</f>
        <v>0</v>
      </c>
      <c r="L101" s="24">
        <f>L102</f>
        <v>0</v>
      </c>
      <c r="M101" s="24">
        <f>J101+K101-L101</f>
        <v>0</v>
      </c>
      <c r="N101" s="14">
        <f>N102</f>
        <v>0</v>
      </c>
      <c r="O101" s="24">
        <f>O102</f>
        <v>0</v>
      </c>
      <c r="P101" s="24">
        <f>P102</f>
        <v>0</v>
      </c>
      <c r="Q101" s="24">
        <f>Q102</f>
        <v>0</v>
      </c>
      <c r="R101" s="26">
        <f t="shared" si="45"/>
        <v>0</v>
      </c>
      <c r="S101" s="24">
        <f>S102</f>
        <v>0</v>
      </c>
      <c r="T101" s="33">
        <f>T102</f>
        <v>0</v>
      </c>
    </row>
    <row r="102" spans="1:27" s="6" customFormat="1" ht="16.5" customHeight="1" x14ac:dyDescent="0.25">
      <c r="A102" s="90" t="s">
        <v>3</v>
      </c>
      <c r="B102" s="71" t="s">
        <v>51</v>
      </c>
      <c r="C102" s="7" t="s">
        <v>6</v>
      </c>
      <c r="D102" s="7"/>
      <c r="E102" s="7"/>
      <c r="F102" s="7"/>
      <c r="G102" s="107" t="s">
        <v>85</v>
      </c>
      <c r="H102" s="7" t="s">
        <v>5</v>
      </c>
      <c r="I102" s="7">
        <v>11</v>
      </c>
      <c r="J102" s="27">
        <v>0</v>
      </c>
      <c r="K102" s="27">
        <v>0</v>
      </c>
      <c r="L102" s="27">
        <v>0</v>
      </c>
      <c r="M102" s="27">
        <f t="shared" si="46"/>
        <v>0</v>
      </c>
      <c r="N102" s="9">
        <v>0</v>
      </c>
      <c r="O102" s="9"/>
      <c r="P102" s="27">
        <f>+M102-O102-N102</f>
        <v>0</v>
      </c>
      <c r="Q102" s="27"/>
      <c r="R102" s="25">
        <f t="shared" si="45"/>
        <v>0</v>
      </c>
      <c r="S102" s="27"/>
      <c r="T102" s="51"/>
    </row>
    <row r="103" spans="1:27" s="55" customFormat="1" ht="16.5" customHeight="1" x14ac:dyDescent="0.25">
      <c r="A103" s="92" t="s">
        <v>3</v>
      </c>
      <c r="B103" s="81" t="s">
        <v>51</v>
      </c>
      <c r="C103" s="81"/>
      <c r="D103" s="81"/>
      <c r="E103" s="81"/>
      <c r="F103" s="81"/>
      <c r="G103" s="82" t="s">
        <v>17</v>
      </c>
      <c r="H103" s="81" t="s">
        <v>5</v>
      </c>
      <c r="I103" s="83" t="s">
        <v>6</v>
      </c>
      <c r="J103" s="64">
        <f t="shared" ref="J103:P103" si="50">J101+J96+J93</f>
        <v>30845400000</v>
      </c>
      <c r="K103" s="64">
        <f t="shared" si="50"/>
        <v>55000000</v>
      </c>
      <c r="L103" s="64">
        <f t="shared" si="50"/>
        <v>4676000000</v>
      </c>
      <c r="M103" s="64">
        <f t="shared" si="50"/>
        <v>26224400000</v>
      </c>
      <c r="N103" s="64">
        <f t="shared" si="50"/>
        <v>24894700000</v>
      </c>
      <c r="O103" s="64">
        <f t="shared" si="50"/>
        <v>1310709141</v>
      </c>
      <c r="P103" s="64">
        <f t="shared" si="50"/>
        <v>18990859</v>
      </c>
      <c r="Q103" s="64">
        <f>Q101+Q96+Q93</f>
        <v>1310709141</v>
      </c>
      <c r="R103" s="76">
        <f t="shared" si="45"/>
        <v>4.9980519706837909E-2</v>
      </c>
      <c r="S103" s="64">
        <f>S101+S96+S93</f>
        <v>1310709140</v>
      </c>
      <c r="T103" s="73">
        <f>T101+T96+T93</f>
        <v>1310709140</v>
      </c>
      <c r="U103" s="54"/>
      <c r="V103" s="54"/>
      <c r="W103" s="54"/>
      <c r="X103" s="54"/>
      <c r="Y103" s="54"/>
      <c r="Z103" s="54"/>
      <c r="AA103" s="54"/>
    </row>
    <row r="104" spans="1:27" s="6" customFormat="1" ht="16.5" customHeight="1" thickBot="1" x14ac:dyDescent="0.3">
      <c r="A104" s="136" t="s">
        <v>27</v>
      </c>
      <c r="B104" s="137"/>
      <c r="C104" s="137"/>
      <c r="D104" s="137"/>
      <c r="E104" s="137"/>
      <c r="F104" s="137"/>
      <c r="G104" s="137"/>
      <c r="H104" s="137"/>
      <c r="I104" s="138"/>
      <c r="J104" s="77">
        <f>J103</f>
        <v>30845400000</v>
      </c>
      <c r="K104" s="77">
        <f t="shared" ref="K104:L104" si="51">K103</f>
        <v>55000000</v>
      </c>
      <c r="L104" s="77">
        <f t="shared" si="51"/>
        <v>4676000000</v>
      </c>
      <c r="M104" s="77">
        <f>M103</f>
        <v>26224400000</v>
      </c>
      <c r="N104" s="77">
        <f>N103</f>
        <v>24894700000</v>
      </c>
      <c r="O104" s="77">
        <f>O103</f>
        <v>1310709141</v>
      </c>
      <c r="P104" s="77">
        <f>P103</f>
        <v>18990859</v>
      </c>
      <c r="Q104" s="77">
        <f>Q103</f>
        <v>1310709141</v>
      </c>
      <c r="R104" s="76">
        <f t="shared" si="45"/>
        <v>4.9980519706837909E-2</v>
      </c>
      <c r="S104" s="77">
        <f>S103</f>
        <v>1310709140</v>
      </c>
      <c r="T104" s="78">
        <f>T103</f>
        <v>1310709140</v>
      </c>
    </row>
    <row r="105" spans="1:27" s="47" customFormat="1" ht="16.5" customHeight="1" thickBot="1" x14ac:dyDescent="0.3">
      <c r="A105" s="130" t="s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2"/>
    </row>
    <row r="106" spans="1:27" s="47" customFormat="1" ht="16.5" customHeight="1" x14ac:dyDescent="0.25">
      <c r="A106" s="90" t="s">
        <v>3</v>
      </c>
      <c r="B106" s="11" t="s">
        <v>72</v>
      </c>
      <c r="C106" s="11"/>
      <c r="D106" s="11"/>
      <c r="E106" s="11"/>
      <c r="F106" s="11"/>
      <c r="G106" s="12" t="s">
        <v>84</v>
      </c>
      <c r="H106" s="11" t="s">
        <v>5</v>
      </c>
      <c r="I106" s="11" t="s">
        <v>6</v>
      </c>
      <c r="J106" s="24">
        <f>J108+J111+J113</f>
        <v>484300000</v>
      </c>
      <c r="K106" s="24">
        <f>K108+K111+K113</f>
        <v>116410967</v>
      </c>
      <c r="L106" s="24">
        <f t="shared" ref="L106:M106" si="52">L108+L111+L113</f>
        <v>0</v>
      </c>
      <c r="M106" s="24">
        <f t="shared" si="52"/>
        <v>600710967</v>
      </c>
      <c r="N106" s="24">
        <f>N108+N111+N113</f>
        <v>0</v>
      </c>
      <c r="O106" s="24">
        <f>O108+O111+O113</f>
        <v>574839990</v>
      </c>
      <c r="P106" s="24">
        <f>P108+P111+P113</f>
        <v>25870977</v>
      </c>
      <c r="Q106" s="24">
        <f>Q108+Q111+Q113</f>
        <v>574839990</v>
      </c>
      <c r="R106" s="26">
        <f t="shared" ref="R106:R123" si="53">IF(Q106&gt;1,Q106/(M106),0)</f>
        <v>0.95693273733755557</v>
      </c>
      <c r="S106" s="24">
        <f>S108+S111+S113</f>
        <v>574839990</v>
      </c>
      <c r="T106" s="33">
        <f>T108+T111+T113</f>
        <v>574839990</v>
      </c>
    </row>
    <row r="107" spans="1:27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84</v>
      </c>
      <c r="H107" s="11" t="s">
        <v>5</v>
      </c>
      <c r="I107" s="11">
        <v>11</v>
      </c>
      <c r="J107" s="24">
        <f>J114</f>
        <v>877200000</v>
      </c>
      <c r="K107" s="24">
        <f t="shared" ref="K107:M107" si="54">K114</f>
        <v>0</v>
      </c>
      <c r="L107" s="24">
        <f t="shared" si="54"/>
        <v>0</v>
      </c>
      <c r="M107" s="24">
        <f t="shared" si="54"/>
        <v>877200000</v>
      </c>
      <c r="N107" s="24">
        <f>N113</f>
        <v>0</v>
      </c>
      <c r="O107" s="24">
        <f>O114</f>
        <v>877200000</v>
      </c>
      <c r="P107" s="24">
        <f>P114</f>
        <v>0</v>
      </c>
      <c r="Q107" s="24">
        <f>Q114</f>
        <v>877200000</v>
      </c>
      <c r="R107" s="26">
        <f t="shared" si="53"/>
        <v>1</v>
      </c>
      <c r="S107" s="24">
        <f>S114</f>
        <v>877200000</v>
      </c>
      <c r="T107" s="33">
        <f>T114</f>
        <v>877200000</v>
      </c>
    </row>
    <row r="108" spans="1:27" s="6" customFormat="1" ht="16.5" customHeight="1" x14ac:dyDescent="0.25">
      <c r="A108" s="90" t="s">
        <v>3</v>
      </c>
      <c r="B108" s="11" t="s">
        <v>72</v>
      </c>
      <c r="C108" s="11" t="s">
        <v>34</v>
      </c>
      <c r="D108" s="11"/>
      <c r="E108" s="11"/>
      <c r="F108" s="11"/>
      <c r="G108" s="12" t="s">
        <v>82</v>
      </c>
      <c r="H108" s="11" t="s">
        <v>5</v>
      </c>
      <c r="I108" s="11" t="s">
        <v>6</v>
      </c>
      <c r="J108" s="24">
        <f>J109+J110</f>
        <v>484300000</v>
      </c>
      <c r="K108" s="24">
        <f t="shared" ref="K108" si="55">K109+K110</f>
        <v>0</v>
      </c>
      <c r="L108" s="24">
        <f>L109+L110</f>
        <v>0</v>
      </c>
      <c r="M108" s="24">
        <f>M109+M110</f>
        <v>484300000</v>
      </c>
      <c r="N108" s="24">
        <f>N109+N110</f>
        <v>0</v>
      </c>
      <c r="O108" s="24">
        <f>O109+O110</f>
        <v>458429023</v>
      </c>
      <c r="P108" s="24">
        <f>M108-O108-N108</f>
        <v>25870977</v>
      </c>
      <c r="Q108" s="24">
        <f>Q109+Q110</f>
        <v>458429023</v>
      </c>
      <c r="R108" s="26">
        <f>IF(Q108&gt;1,Q108/(M108),0)</f>
        <v>0.94658067933099321</v>
      </c>
      <c r="S108" s="24">
        <f>S109+S110</f>
        <v>458429023</v>
      </c>
      <c r="T108" s="33">
        <f>T109+T110</f>
        <v>458429023</v>
      </c>
    </row>
    <row r="109" spans="1:27" s="6" customFormat="1" ht="16.5" customHeight="1" x14ac:dyDescent="0.25">
      <c r="A109" s="90" t="s">
        <v>3</v>
      </c>
      <c r="B109" s="7" t="s">
        <v>72</v>
      </c>
      <c r="C109" s="7" t="s">
        <v>34</v>
      </c>
      <c r="D109" s="7" t="s">
        <v>50</v>
      </c>
      <c r="E109" s="7" t="s">
        <v>35</v>
      </c>
      <c r="F109" s="7"/>
      <c r="G109" s="23" t="s">
        <v>76</v>
      </c>
      <c r="H109" s="7" t="s">
        <v>5</v>
      </c>
      <c r="I109" s="7" t="s">
        <v>6</v>
      </c>
      <c r="J109" s="27">
        <v>472800000</v>
      </c>
      <c r="K109" s="27"/>
      <c r="L109" s="27"/>
      <c r="M109" s="27">
        <f>J109+K109-L109</f>
        <v>472800000</v>
      </c>
      <c r="N109" s="9">
        <v>0</v>
      </c>
      <c r="O109" s="27">
        <v>449594023</v>
      </c>
      <c r="P109" s="27">
        <f>+M109-O109-N109</f>
        <v>23205977</v>
      </c>
      <c r="Q109" s="27">
        <v>449594023</v>
      </c>
      <c r="R109" s="26">
        <f t="shared" si="53"/>
        <v>0.95091798434856178</v>
      </c>
      <c r="S109" s="27">
        <v>449594023</v>
      </c>
      <c r="T109" s="51">
        <v>449594023</v>
      </c>
    </row>
    <row r="110" spans="1:27" s="47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43</v>
      </c>
      <c r="F110" s="7"/>
      <c r="G110" s="23" t="s">
        <v>77</v>
      </c>
      <c r="H110" s="7" t="s">
        <v>5</v>
      </c>
      <c r="I110" s="7" t="s">
        <v>6</v>
      </c>
      <c r="J110" s="27">
        <v>11500000</v>
      </c>
      <c r="K110" s="27"/>
      <c r="L110" s="27"/>
      <c r="M110" s="27">
        <f t="shared" ref="M110" si="56">J110+K110-L110</f>
        <v>11500000</v>
      </c>
      <c r="N110" s="9">
        <v>0</v>
      </c>
      <c r="O110" s="27">
        <v>8835000</v>
      </c>
      <c r="P110" s="27">
        <f>+M110-O110-N110</f>
        <v>2665000</v>
      </c>
      <c r="Q110" s="27">
        <v>8835000</v>
      </c>
      <c r="R110" s="26">
        <f t="shared" si="53"/>
        <v>0.76826086956521744</v>
      </c>
      <c r="S110" s="27">
        <v>8835000</v>
      </c>
      <c r="T110" s="51">
        <v>8835000</v>
      </c>
    </row>
    <row r="111" spans="1:27" s="47" customFormat="1" ht="16.5" customHeight="1" x14ac:dyDescent="0.25">
      <c r="A111" s="90" t="s">
        <v>3</v>
      </c>
      <c r="B111" s="71" t="s">
        <v>72</v>
      </c>
      <c r="C111" s="71" t="s">
        <v>50</v>
      </c>
      <c r="D111" s="7"/>
      <c r="E111" s="7"/>
      <c r="F111" s="7"/>
      <c r="G111" s="12" t="s">
        <v>235</v>
      </c>
      <c r="H111" s="11" t="s">
        <v>5</v>
      </c>
      <c r="I111" s="11" t="s">
        <v>6</v>
      </c>
      <c r="J111" s="27">
        <f>J112</f>
        <v>0</v>
      </c>
      <c r="K111" s="24">
        <f t="shared" ref="K111:L111" si="57">K112</f>
        <v>40004212</v>
      </c>
      <c r="L111" s="24">
        <f t="shared" si="57"/>
        <v>0</v>
      </c>
      <c r="M111" s="24">
        <f>M112</f>
        <v>40004212</v>
      </c>
      <c r="N111" s="14">
        <f t="shared" ref="N111:P111" si="58">N112</f>
        <v>0</v>
      </c>
      <c r="O111" s="24">
        <f t="shared" si="58"/>
        <v>40004212</v>
      </c>
      <c r="P111" s="24">
        <f t="shared" si="58"/>
        <v>0</v>
      </c>
      <c r="Q111" s="24">
        <f>Q112</f>
        <v>40004212</v>
      </c>
      <c r="R111" s="26">
        <f>IF(Q111&gt;1,Q111/(M111),0)</f>
        <v>1</v>
      </c>
      <c r="S111" s="24">
        <f>S112</f>
        <v>40004212</v>
      </c>
      <c r="T111" s="33">
        <f>T112</f>
        <v>40004212</v>
      </c>
    </row>
    <row r="112" spans="1:27" s="47" customFormat="1" ht="16.5" customHeight="1" x14ac:dyDescent="0.25">
      <c r="A112" s="90" t="s">
        <v>3</v>
      </c>
      <c r="B112" s="65" t="s">
        <v>72</v>
      </c>
      <c r="C112" s="65" t="s">
        <v>50</v>
      </c>
      <c r="D112" s="7"/>
      <c r="E112" s="7"/>
      <c r="F112" s="7"/>
      <c r="G112" s="23" t="s">
        <v>235</v>
      </c>
      <c r="H112" s="7" t="s">
        <v>5</v>
      </c>
      <c r="I112" s="7" t="s">
        <v>6</v>
      </c>
      <c r="J112" s="27"/>
      <c r="K112" s="27">
        <v>40004212</v>
      </c>
      <c r="L112" s="27"/>
      <c r="M112" s="27">
        <f>J112+K112-L112</f>
        <v>40004212</v>
      </c>
      <c r="N112" s="9"/>
      <c r="O112" s="27">
        <v>40004212</v>
      </c>
      <c r="P112" s="27">
        <f>+M112-O112-N112</f>
        <v>0</v>
      </c>
      <c r="Q112" s="27">
        <v>40004212</v>
      </c>
      <c r="R112" s="26">
        <f t="shared" si="53"/>
        <v>1</v>
      </c>
      <c r="S112" s="27">
        <v>40004212</v>
      </c>
      <c r="T112" s="51">
        <v>40004212</v>
      </c>
    </row>
    <row r="113" spans="1:21" s="47" customFormat="1" ht="16.5" customHeight="1" x14ac:dyDescent="0.25">
      <c r="A113" s="90" t="s">
        <v>3</v>
      </c>
      <c r="B113" s="11" t="s">
        <v>72</v>
      </c>
      <c r="C113" s="11" t="s">
        <v>70</v>
      </c>
      <c r="D113" s="11"/>
      <c r="E113" s="11"/>
      <c r="F113" s="11"/>
      <c r="G113" s="12" t="s">
        <v>136</v>
      </c>
      <c r="H113" s="11" t="s">
        <v>5</v>
      </c>
      <c r="I113" s="11">
        <v>10</v>
      </c>
      <c r="J113" s="24">
        <f>J115</f>
        <v>0</v>
      </c>
      <c r="K113" s="24">
        <f t="shared" ref="K113:Q113" si="59">K115</f>
        <v>76406755</v>
      </c>
      <c r="L113" s="24">
        <f t="shared" si="59"/>
        <v>0</v>
      </c>
      <c r="M113" s="24">
        <f t="shared" si="59"/>
        <v>76406755</v>
      </c>
      <c r="N113" s="14">
        <f t="shared" si="59"/>
        <v>0</v>
      </c>
      <c r="O113" s="24">
        <f t="shared" si="59"/>
        <v>76406755</v>
      </c>
      <c r="P113" s="24">
        <f t="shared" si="59"/>
        <v>0</v>
      </c>
      <c r="Q113" s="24">
        <f t="shared" si="59"/>
        <v>76406755</v>
      </c>
      <c r="R113" s="26">
        <f t="shared" si="53"/>
        <v>1</v>
      </c>
      <c r="S113" s="24">
        <f t="shared" ref="S113:T113" si="60">S115</f>
        <v>76406755</v>
      </c>
      <c r="T113" s="33">
        <f t="shared" si="60"/>
        <v>76406755</v>
      </c>
    </row>
    <row r="114" spans="1:21" s="47" customFormat="1" ht="16.5" customHeight="1" x14ac:dyDescent="0.25">
      <c r="A114" s="90" t="s">
        <v>3</v>
      </c>
      <c r="B114" s="11" t="s">
        <v>72</v>
      </c>
      <c r="C114" s="11" t="s">
        <v>70</v>
      </c>
      <c r="D114" s="11"/>
      <c r="E114" s="11"/>
      <c r="F114" s="11"/>
      <c r="G114" s="12" t="s">
        <v>136</v>
      </c>
      <c r="H114" s="11" t="s">
        <v>5</v>
      </c>
      <c r="I114" s="11">
        <v>11</v>
      </c>
      <c r="J114" s="24">
        <f>J116</f>
        <v>877200000</v>
      </c>
      <c r="K114" s="24">
        <f t="shared" ref="K114:Q114" si="61">K116</f>
        <v>0</v>
      </c>
      <c r="L114" s="24">
        <f t="shared" si="61"/>
        <v>0</v>
      </c>
      <c r="M114" s="24">
        <f t="shared" si="61"/>
        <v>877200000</v>
      </c>
      <c r="N114" s="14">
        <f t="shared" si="61"/>
        <v>0</v>
      </c>
      <c r="O114" s="24">
        <f t="shared" si="61"/>
        <v>877200000</v>
      </c>
      <c r="P114" s="24">
        <f t="shared" si="61"/>
        <v>0</v>
      </c>
      <c r="Q114" s="24">
        <f t="shared" si="61"/>
        <v>877200000</v>
      </c>
      <c r="R114" s="26">
        <f t="shared" ref="R114" si="62">IF(Q114&gt;1,Q114/(M114),0)</f>
        <v>1</v>
      </c>
      <c r="S114" s="24">
        <f t="shared" ref="S114:T114" si="63">S116</f>
        <v>877200000</v>
      </c>
      <c r="T114" s="33">
        <f t="shared" si="63"/>
        <v>877200000</v>
      </c>
    </row>
    <row r="115" spans="1:21" s="6" customFormat="1" ht="16.5" customHeight="1" x14ac:dyDescent="0.25">
      <c r="A115" s="91" t="s">
        <v>3</v>
      </c>
      <c r="B115" s="7" t="s">
        <v>72</v>
      </c>
      <c r="C115" s="7" t="s">
        <v>70</v>
      </c>
      <c r="D115" s="65" t="s">
        <v>34</v>
      </c>
      <c r="E115" s="7"/>
      <c r="F115" s="7"/>
      <c r="G115" s="23" t="s">
        <v>83</v>
      </c>
      <c r="H115" s="7" t="s">
        <v>5</v>
      </c>
      <c r="I115" s="7">
        <v>10</v>
      </c>
      <c r="J115" s="27">
        <v>0</v>
      </c>
      <c r="K115" s="27">
        <v>76406755</v>
      </c>
      <c r="L115" s="27">
        <v>0</v>
      </c>
      <c r="M115" s="27">
        <f>J115+K115-L115</f>
        <v>76406755</v>
      </c>
      <c r="N115" s="9">
        <v>0</v>
      </c>
      <c r="O115" s="27">
        <v>76406755</v>
      </c>
      <c r="P115" s="27">
        <f>+M115-O115-N115</f>
        <v>0</v>
      </c>
      <c r="Q115" s="27">
        <v>76406755</v>
      </c>
      <c r="R115" s="25">
        <f t="shared" ref="R115" si="64">IF(Q115&gt;1,Q115/(M115),0)</f>
        <v>1</v>
      </c>
      <c r="S115" s="27">
        <v>76406755</v>
      </c>
      <c r="T115" s="51">
        <v>76406755</v>
      </c>
    </row>
    <row r="116" spans="1:21" ht="18" customHeight="1" x14ac:dyDescent="0.25">
      <c r="A116" s="91" t="s">
        <v>3</v>
      </c>
      <c r="B116" s="7" t="s">
        <v>72</v>
      </c>
      <c r="C116" s="7" t="s">
        <v>70</v>
      </c>
      <c r="D116" s="7" t="s">
        <v>34</v>
      </c>
      <c r="E116" s="7"/>
      <c r="F116" s="7"/>
      <c r="G116" s="23" t="s">
        <v>83</v>
      </c>
      <c r="H116" s="7" t="s">
        <v>5</v>
      </c>
      <c r="I116" s="7">
        <v>11</v>
      </c>
      <c r="J116" s="27">
        <v>877200000</v>
      </c>
      <c r="K116" s="27">
        <v>0</v>
      </c>
      <c r="L116" s="27">
        <v>0</v>
      </c>
      <c r="M116" s="27">
        <f>J116+K116-L116</f>
        <v>877200000</v>
      </c>
      <c r="N116" s="9">
        <v>0</v>
      </c>
      <c r="O116" s="27">
        <v>877200000</v>
      </c>
      <c r="P116" s="27">
        <f>+M116-O116-N116</f>
        <v>0</v>
      </c>
      <c r="Q116" s="27">
        <v>877200000</v>
      </c>
      <c r="R116" s="25">
        <f t="shared" si="53"/>
        <v>1</v>
      </c>
      <c r="S116" s="27">
        <v>877200000</v>
      </c>
      <c r="T116" s="51">
        <v>877200000</v>
      </c>
    </row>
    <row r="117" spans="1:21" ht="26.25" customHeight="1" x14ac:dyDescent="0.25">
      <c r="A117" s="92" t="s">
        <v>3</v>
      </c>
      <c r="B117" s="81" t="s">
        <v>72</v>
      </c>
      <c r="C117" s="81"/>
      <c r="D117" s="81"/>
      <c r="E117" s="81"/>
      <c r="F117" s="81"/>
      <c r="G117" s="82" t="s">
        <v>100</v>
      </c>
      <c r="H117" s="81" t="s">
        <v>5</v>
      </c>
      <c r="I117" s="83" t="s">
        <v>6</v>
      </c>
      <c r="J117" s="64">
        <f t="shared" ref="J117:M118" si="65">J106</f>
        <v>484300000</v>
      </c>
      <c r="K117" s="64">
        <f t="shared" si="65"/>
        <v>116410967</v>
      </c>
      <c r="L117" s="64">
        <f t="shared" si="65"/>
        <v>0</v>
      </c>
      <c r="M117" s="64">
        <f t="shared" si="65"/>
        <v>600710967</v>
      </c>
      <c r="N117" s="64">
        <f t="shared" ref="N117:Q117" si="66">N106</f>
        <v>0</v>
      </c>
      <c r="O117" s="64">
        <f t="shared" si="66"/>
        <v>574839990</v>
      </c>
      <c r="P117" s="64">
        <f t="shared" si="66"/>
        <v>25870977</v>
      </c>
      <c r="Q117" s="64">
        <f t="shared" si="66"/>
        <v>574839990</v>
      </c>
      <c r="R117" s="76">
        <f t="shared" si="53"/>
        <v>0.95693273733755557</v>
      </c>
      <c r="S117" s="64">
        <f t="shared" ref="S117:T117" si="67">S106</f>
        <v>574839990</v>
      </c>
      <c r="T117" s="73">
        <f t="shared" si="67"/>
        <v>574839990</v>
      </c>
    </row>
    <row r="118" spans="1:21" ht="26.25" customHeight="1" x14ac:dyDescent="0.25">
      <c r="A118" s="92" t="s">
        <v>3</v>
      </c>
      <c r="B118" s="81" t="s">
        <v>72</v>
      </c>
      <c r="C118" s="81"/>
      <c r="D118" s="81"/>
      <c r="E118" s="81"/>
      <c r="F118" s="81"/>
      <c r="G118" s="82" t="s">
        <v>100</v>
      </c>
      <c r="H118" s="81" t="s">
        <v>5</v>
      </c>
      <c r="I118" s="83">
        <v>11</v>
      </c>
      <c r="J118" s="64">
        <f t="shared" si="65"/>
        <v>877200000</v>
      </c>
      <c r="K118" s="64">
        <f t="shared" si="65"/>
        <v>0</v>
      </c>
      <c r="L118" s="64">
        <f t="shared" si="65"/>
        <v>0</v>
      </c>
      <c r="M118" s="64">
        <f t="shared" si="65"/>
        <v>877200000</v>
      </c>
      <c r="N118" s="64">
        <f t="shared" ref="N118:Q118" si="68">N107</f>
        <v>0</v>
      </c>
      <c r="O118" s="64">
        <f t="shared" si="68"/>
        <v>877200000</v>
      </c>
      <c r="P118" s="64">
        <f t="shared" si="68"/>
        <v>0</v>
      </c>
      <c r="Q118" s="64">
        <f t="shared" si="68"/>
        <v>877200000</v>
      </c>
      <c r="R118" s="76">
        <f t="shared" si="53"/>
        <v>1</v>
      </c>
      <c r="S118" s="64">
        <f t="shared" ref="S118:T118" si="69">S107</f>
        <v>877200000</v>
      </c>
      <c r="T118" s="73">
        <f t="shared" si="69"/>
        <v>877200000</v>
      </c>
    </row>
    <row r="119" spans="1:21" ht="16.5" customHeight="1" x14ac:dyDescent="0.25">
      <c r="A119" s="136" t="s">
        <v>105</v>
      </c>
      <c r="B119" s="137"/>
      <c r="C119" s="137"/>
      <c r="D119" s="137"/>
      <c r="E119" s="137"/>
      <c r="F119" s="137"/>
      <c r="G119" s="137"/>
      <c r="H119" s="137"/>
      <c r="I119" s="138"/>
      <c r="J119" s="77">
        <f>J117+J118</f>
        <v>1361500000</v>
      </c>
      <c r="K119" s="77">
        <f t="shared" ref="K119:L119" si="70">K117+K118</f>
        <v>116410967</v>
      </c>
      <c r="L119" s="77">
        <f t="shared" si="70"/>
        <v>0</v>
      </c>
      <c r="M119" s="77">
        <f>M117+M118</f>
        <v>1477910967</v>
      </c>
      <c r="N119" s="77">
        <f t="shared" ref="N119:Q119" si="71">N117+N118</f>
        <v>0</v>
      </c>
      <c r="O119" s="77">
        <f t="shared" si="71"/>
        <v>1452039990</v>
      </c>
      <c r="P119" s="77">
        <f t="shared" si="71"/>
        <v>25870977</v>
      </c>
      <c r="Q119" s="77">
        <f t="shared" si="71"/>
        <v>1452039990</v>
      </c>
      <c r="R119" s="76">
        <f t="shared" si="53"/>
        <v>0.98249490153489061</v>
      </c>
      <c r="S119" s="77">
        <f t="shared" ref="S119:T119" si="72">S117+S118</f>
        <v>1452039990</v>
      </c>
      <c r="T119" s="78">
        <f t="shared" si="72"/>
        <v>1452039990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5</v>
      </c>
      <c r="I120" s="86">
        <v>10</v>
      </c>
      <c r="J120" s="72">
        <f t="shared" ref="J120:Q120" si="73">+J117+J88+J33+J103</f>
        <v>387240600000</v>
      </c>
      <c r="K120" s="72">
        <f t="shared" si="73"/>
        <v>22454544168.760002</v>
      </c>
      <c r="L120" s="72">
        <f t="shared" si="73"/>
        <v>15304544168.76</v>
      </c>
      <c r="M120" s="72">
        <f t="shared" si="73"/>
        <v>394390600000</v>
      </c>
      <c r="N120" s="72">
        <f t="shared" si="73"/>
        <v>24894700000</v>
      </c>
      <c r="O120" s="72">
        <f t="shared" si="73"/>
        <v>282599256803.70001</v>
      </c>
      <c r="P120" s="72">
        <f t="shared" si="73"/>
        <v>86896643196.300003</v>
      </c>
      <c r="Q120" s="72">
        <f t="shared" si="73"/>
        <v>274530706314.70001</v>
      </c>
      <c r="R120" s="74">
        <f t="shared" si="53"/>
        <v>0.6960883609160563</v>
      </c>
      <c r="S120" s="72">
        <f>+S117+S88+S33+S103</f>
        <v>259199097155.76001</v>
      </c>
      <c r="T120" s="75">
        <f>+T117+T88+T33+T103</f>
        <v>258686132175.31</v>
      </c>
    </row>
    <row r="121" spans="1:21" ht="16.5" customHeight="1" x14ac:dyDescent="0.25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5</v>
      </c>
      <c r="I121" s="86">
        <v>11</v>
      </c>
      <c r="J121" s="72">
        <f>J118</f>
        <v>877200000</v>
      </c>
      <c r="K121" s="72">
        <f t="shared" ref="K121:L121" si="74">K118</f>
        <v>0</v>
      </c>
      <c r="L121" s="72">
        <f t="shared" si="74"/>
        <v>0</v>
      </c>
      <c r="M121" s="72">
        <f>M118</f>
        <v>877200000</v>
      </c>
      <c r="N121" s="72">
        <f>N118</f>
        <v>0</v>
      </c>
      <c r="O121" s="72">
        <f>O118</f>
        <v>877200000</v>
      </c>
      <c r="P121" s="72">
        <f>P118</f>
        <v>0</v>
      </c>
      <c r="Q121" s="72">
        <f>Q118</f>
        <v>877200000</v>
      </c>
      <c r="R121" s="74">
        <f t="shared" si="53"/>
        <v>1</v>
      </c>
      <c r="S121" s="72">
        <f>S118</f>
        <v>877200000</v>
      </c>
      <c r="T121" s="75">
        <f>T118</f>
        <v>877200000</v>
      </c>
    </row>
    <row r="122" spans="1:21" ht="16.5" customHeight="1" x14ac:dyDescent="0.25">
      <c r="A122" s="93" t="s">
        <v>3</v>
      </c>
      <c r="B122" s="84"/>
      <c r="C122" s="84"/>
      <c r="D122" s="84"/>
      <c r="E122" s="84"/>
      <c r="F122" s="84"/>
      <c r="G122" s="85" t="s">
        <v>4</v>
      </c>
      <c r="H122" s="84" t="s">
        <v>8</v>
      </c>
      <c r="I122" s="86">
        <v>20</v>
      </c>
      <c r="J122" s="72">
        <f t="shared" ref="J122:Q123" si="75">J89</f>
        <v>950000000</v>
      </c>
      <c r="K122" s="72">
        <f t="shared" si="75"/>
        <v>50000000</v>
      </c>
      <c r="L122" s="72">
        <f t="shared" si="75"/>
        <v>50000000</v>
      </c>
      <c r="M122" s="72">
        <f t="shared" si="75"/>
        <v>950000000</v>
      </c>
      <c r="N122" s="72">
        <f t="shared" si="75"/>
        <v>0</v>
      </c>
      <c r="O122" s="72">
        <f t="shared" si="75"/>
        <v>672070637.04999995</v>
      </c>
      <c r="P122" s="72">
        <f t="shared" si="75"/>
        <v>277929362.95000005</v>
      </c>
      <c r="Q122" s="72">
        <f t="shared" si="75"/>
        <v>665091437.04999995</v>
      </c>
      <c r="R122" s="74">
        <f t="shared" si="53"/>
        <v>0.70009624952631577</v>
      </c>
      <c r="S122" s="72">
        <f>S89</f>
        <v>622067457.04999995</v>
      </c>
      <c r="T122" s="75">
        <f>T89</f>
        <v>620439257.04999995</v>
      </c>
    </row>
    <row r="123" spans="1:21" s="5" customFormat="1" ht="15" customHeight="1" x14ac:dyDescent="0.2">
      <c r="A123" s="93" t="s">
        <v>3</v>
      </c>
      <c r="B123" s="84"/>
      <c r="C123" s="84"/>
      <c r="D123" s="84"/>
      <c r="E123" s="84"/>
      <c r="F123" s="84"/>
      <c r="G123" s="85" t="s">
        <v>4</v>
      </c>
      <c r="H123" s="84" t="s">
        <v>8</v>
      </c>
      <c r="I123" s="86">
        <v>21</v>
      </c>
      <c r="J123" s="72">
        <f t="shared" si="75"/>
        <v>475113000</v>
      </c>
      <c r="K123" s="72">
        <f t="shared" si="75"/>
        <v>0</v>
      </c>
      <c r="L123" s="72">
        <f t="shared" si="75"/>
        <v>0</v>
      </c>
      <c r="M123" s="72">
        <f t="shared" si="75"/>
        <v>475113000</v>
      </c>
      <c r="N123" s="72">
        <f t="shared" si="75"/>
        <v>0</v>
      </c>
      <c r="O123" s="72">
        <f t="shared" si="75"/>
        <v>475113000</v>
      </c>
      <c r="P123" s="72">
        <f t="shared" si="75"/>
        <v>0</v>
      </c>
      <c r="Q123" s="72">
        <f t="shared" si="75"/>
        <v>475113000</v>
      </c>
      <c r="R123" s="74">
        <f t="shared" si="53"/>
        <v>1</v>
      </c>
      <c r="S123" s="72">
        <f>S90</f>
        <v>475113000</v>
      </c>
      <c r="T123" s="75">
        <f>T90</f>
        <v>475113000</v>
      </c>
      <c r="U123" s="46"/>
    </row>
    <row r="124" spans="1:21" ht="15.75" customHeight="1" thickBot="1" x14ac:dyDescent="0.3">
      <c r="A124" s="139" t="s">
        <v>28</v>
      </c>
      <c r="B124" s="140"/>
      <c r="C124" s="140"/>
      <c r="D124" s="140"/>
      <c r="E124" s="140"/>
      <c r="F124" s="140"/>
      <c r="G124" s="140"/>
      <c r="H124" s="140"/>
      <c r="I124" s="141"/>
      <c r="J124" s="41">
        <f>SUM(J120:J123)</f>
        <v>389542913000</v>
      </c>
      <c r="K124" s="41">
        <f>SUM(K120:K123)</f>
        <v>22504544168.760002</v>
      </c>
      <c r="L124" s="41">
        <f t="shared" ref="L124" si="76">SUM(L120:L123)</f>
        <v>15354544168.76</v>
      </c>
      <c r="M124" s="41">
        <f>SUM(M120:M123)</f>
        <v>396692913000</v>
      </c>
      <c r="N124" s="41">
        <f>SUM(N120:N123)</f>
        <v>24894700000</v>
      </c>
      <c r="O124" s="41">
        <f>SUM(O120:O123)</f>
        <v>284623640440.75</v>
      </c>
      <c r="P124" s="41">
        <f>SUM(P120:P123)</f>
        <v>87174572559.25</v>
      </c>
      <c r="Q124" s="41">
        <f>SUM(Q120:Q123)</f>
        <v>276548110751.75</v>
      </c>
      <c r="R124" s="43">
        <f>IF(Q124&gt;1,Q124/(M124),0)</f>
        <v>0.69713398371639168</v>
      </c>
      <c r="S124" s="41">
        <f>SUM(S120:S123)</f>
        <v>261173477612.81</v>
      </c>
      <c r="T124" s="52">
        <f>SUM(T120:T123)</f>
        <v>260658884432.35999</v>
      </c>
    </row>
    <row r="125" spans="1:21" s="6" customFormat="1" ht="18.75" customHeight="1" thickBot="1" x14ac:dyDescent="0.3">
      <c r="A125" s="130" t="s">
        <v>31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2"/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99</v>
      </c>
      <c r="H126" s="11" t="s">
        <v>5</v>
      </c>
      <c r="I126" s="13">
        <v>10</v>
      </c>
      <c r="J126" s="24">
        <f>J128+J130+J132+J136+J140+J149+J153+J144</f>
        <v>60058296000</v>
      </c>
      <c r="K126" s="24">
        <f t="shared" ref="K126:P126" si="77">K128+K130+K132+K136+K140+K149+K153+K144</f>
        <v>90241646</v>
      </c>
      <c r="L126" s="24">
        <f t="shared" si="77"/>
        <v>90241646</v>
      </c>
      <c r="M126" s="24">
        <f t="shared" si="77"/>
        <v>60058296000</v>
      </c>
      <c r="N126" s="14">
        <f t="shared" si="77"/>
        <v>0</v>
      </c>
      <c r="O126" s="88">
        <f t="shared" si="77"/>
        <v>57553964496.809998</v>
      </c>
      <c r="P126" s="24">
        <f t="shared" si="77"/>
        <v>2504331503.1899996</v>
      </c>
      <c r="Q126" s="14">
        <f>Q128+Q130+Q132+Q136+Q140+Q149+Q153+Q144</f>
        <v>50673417004.979996</v>
      </c>
      <c r="R126" s="26">
        <f t="shared" ref="R126:R184" si="78">IF(Q126&gt;1,Q126/(M126),0)</f>
        <v>0.84373717504372747</v>
      </c>
      <c r="S126" s="14">
        <f t="shared" ref="S126" si="79">S128+S130+S132+S136+S140+S149+S153+S144</f>
        <v>17335864039.630001</v>
      </c>
      <c r="T126" s="22">
        <f>T128+T130+T132+T136+T140+T149+T153+T144</f>
        <v>17202081659.630001</v>
      </c>
    </row>
    <row r="127" spans="1:21" ht="33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99</v>
      </c>
      <c r="H127" s="11" t="s">
        <v>8</v>
      </c>
      <c r="I127" s="13">
        <v>21</v>
      </c>
      <c r="J127" s="14">
        <f>J137+J145</f>
        <v>1194647000</v>
      </c>
      <c r="K127" s="14">
        <f t="shared" ref="K127:Q127" si="80">K137+K145</f>
        <v>0</v>
      </c>
      <c r="L127" s="24">
        <f t="shared" si="80"/>
        <v>0</v>
      </c>
      <c r="M127" s="24">
        <f t="shared" si="80"/>
        <v>1194647000</v>
      </c>
      <c r="N127" s="14">
        <f t="shared" si="80"/>
        <v>0</v>
      </c>
      <c r="O127" s="14">
        <f t="shared" si="80"/>
        <v>1194647000</v>
      </c>
      <c r="P127" s="24">
        <f t="shared" si="80"/>
        <v>0</v>
      </c>
      <c r="Q127" s="14">
        <f t="shared" si="80"/>
        <v>1194647000</v>
      </c>
      <c r="R127" s="26">
        <f t="shared" si="78"/>
        <v>1</v>
      </c>
      <c r="S127" s="14">
        <f>S137+S145</f>
        <v>363150</v>
      </c>
      <c r="T127" s="22">
        <f>T137+T145</f>
        <v>363150</v>
      </c>
    </row>
    <row r="128" spans="1:21" ht="33" customHeight="1" x14ac:dyDescent="0.25">
      <c r="A128" s="95" t="s">
        <v>18</v>
      </c>
      <c r="B128" s="98" t="s">
        <v>89</v>
      </c>
      <c r="C128" s="98" t="s">
        <v>90</v>
      </c>
      <c r="D128" s="98" t="s">
        <v>91</v>
      </c>
      <c r="E128" s="11"/>
      <c r="F128" s="11"/>
      <c r="G128" s="12" t="s">
        <v>194</v>
      </c>
      <c r="H128" s="98" t="s">
        <v>5</v>
      </c>
      <c r="I128" s="99">
        <v>10</v>
      </c>
      <c r="J128" s="14">
        <f>J129</f>
        <v>11474400000</v>
      </c>
      <c r="K128" s="14">
        <f t="shared" ref="K128:N128" si="81">K129</f>
        <v>0</v>
      </c>
      <c r="L128" s="24">
        <f t="shared" si="81"/>
        <v>0</v>
      </c>
      <c r="M128" s="24">
        <f>M129</f>
        <v>11474400000</v>
      </c>
      <c r="N128" s="14">
        <f t="shared" si="81"/>
        <v>0</v>
      </c>
      <c r="O128" s="14">
        <f>O129</f>
        <v>11149839622.450001</v>
      </c>
      <c r="P128" s="24">
        <f>P129</f>
        <v>324560377.54999924</v>
      </c>
      <c r="Q128" s="14">
        <f>Q129</f>
        <v>10460796176.450001</v>
      </c>
      <c r="R128" s="26">
        <f t="shared" si="78"/>
        <v>0.91166389322753261</v>
      </c>
      <c r="S128" s="14">
        <f>S129</f>
        <v>2123738079.9000001</v>
      </c>
      <c r="T128" s="22">
        <f>T129</f>
        <v>2099151179.9000001</v>
      </c>
    </row>
    <row r="129" spans="1:20" ht="50.25" customHeight="1" x14ac:dyDescent="0.25">
      <c r="A129" s="94" t="s">
        <v>18</v>
      </c>
      <c r="B129" s="56" t="s">
        <v>89</v>
      </c>
      <c r="C129" s="56" t="s">
        <v>90</v>
      </c>
      <c r="D129" s="56" t="s">
        <v>91</v>
      </c>
      <c r="E129" s="56" t="s">
        <v>216</v>
      </c>
      <c r="F129" s="56" t="s">
        <v>149</v>
      </c>
      <c r="G129" s="23" t="s">
        <v>167</v>
      </c>
      <c r="H129" s="56" t="s">
        <v>5</v>
      </c>
      <c r="I129" s="57">
        <v>10</v>
      </c>
      <c r="J129" s="44">
        <v>11474400000</v>
      </c>
      <c r="K129" s="44">
        <v>0</v>
      </c>
      <c r="L129" s="44"/>
      <c r="M129" s="44">
        <f>J129+K129-L129</f>
        <v>11474400000</v>
      </c>
      <c r="N129" s="44">
        <v>0</v>
      </c>
      <c r="O129" s="44">
        <v>11149839622.450001</v>
      </c>
      <c r="P129" s="44">
        <f t="shared" ref="P129:P154" si="82">+M129-O129-N129</f>
        <v>324560377.54999924</v>
      </c>
      <c r="Q129" s="58">
        <v>10460796176.450001</v>
      </c>
      <c r="R129" s="25">
        <f t="shared" si="78"/>
        <v>0.91166389322753261</v>
      </c>
      <c r="S129" s="58">
        <v>2123738079.9000001</v>
      </c>
      <c r="T129" s="59">
        <v>2099151179.9000001</v>
      </c>
    </row>
    <row r="130" spans="1:20" ht="50.25" customHeight="1" x14ac:dyDescent="0.25">
      <c r="A130" s="95" t="s">
        <v>18</v>
      </c>
      <c r="B130" s="98" t="s">
        <v>89</v>
      </c>
      <c r="C130" s="98" t="s">
        <v>90</v>
      </c>
      <c r="D130" s="98" t="s">
        <v>6</v>
      </c>
      <c r="E130" s="98"/>
      <c r="F130" s="98"/>
      <c r="G130" s="12" t="s">
        <v>195</v>
      </c>
      <c r="H130" s="98" t="s">
        <v>5</v>
      </c>
      <c r="I130" s="99">
        <v>10</v>
      </c>
      <c r="J130" s="48">
        <f>J131</f>
        <v>300000000</v>
      </c>
      <c r="K130" s="48">
        <f t="shared" ref="K130:L130" si="83">K131</f>
        <v>0</v>
      </c>
      <c r="L130" s="48">
        <f t="shared" si="83"/>
        <v>0</v>
      </c>
      <c r="M130" s="48">
        <f>M131</f>
        <v>300000000</v>
      </c>
      <c r="N130" s="48">
        <f t="shared" ref="N130:T130" si="84">N131</f>
        <v>0</v>
      </c>
      <c r="O130" s="48">
        <f>O131</f>
        <v>236886522</v>
      </c>
      <c r="P130" s="48">
        <f>P131</f>
        <v>63113478</v>
      </c>
      <c r="Q130" s="100">
        <f t="shared" si="84"/>
        <v>226176522</v>
      </c>
      <c r="R130" s="26">
        <f t="shared" si="78"/>
        <v>0.75392174000000001</v>
      </c>
      <c r="S130" s="100">
        <f t="shared" si="84"/>
        <v>125458810.89</v>
      </c>
      <c r="T130" s="101">
        <f t="shared" si="84"/>
        <v>125458810.89</v>
      </c>
    </row>
    <row r="131" spans="1:20" ht="46.5" customHeight="1" x14ac:dyDescent="0.25">
      <c r="A131" s="94" t="s">
        <v>18</v>
      </c>
      <c r="B131" s="56" t="s">
        <v>89</v>
      </c>
      <c r="C131" s="56" t="s">
        <v>90</v>
      </c>
      <c r="D131" s="56" t="s">
        <v>6</v>
      </c>
      <c r="E131" s="56" t="s">
        <v>216</v>
      </c>
      <c r="F131" s="56" t="s">
        <v>150</v>
      </c>
      <c r="G131" s="23" t="s">
        <v>168</v>
      </c>
      <c r="H131" s="56" t="s">
        <v>5</v>
      </c>
      <c r="I131" s="57">
        <v>10</v>
      </c>
      <c r="J131" s="58">
        <v>300000000</v>
      </c>
      <c r="K131" s="44">
        <v>0</v>
      </c>
      <c r="L131" s="44"/>
      <c r="M131" s="44">
        <f t="shared" ref="M131:M157" si="85">J131+K131-L131</f>
        <v>300000000</v>
      </c>
      <c r="N131" s="113">
        <v>0</v>
      </c>
      <c r="O131" s="44">
        <v>236886522</v>
      </c>
      <c r="P131" s="44">
        <f t="shared" si="82"/>
        <v>63113478</v>
      </c>
      <c r="Q131" s="58">
        <v>226176522</v>
      </c>
      <c r="R131" s="25">
        <f t="shared" si="78"/>
        <v>0.75392174000000001</v>
      </c>
      <c r="S131" s="58">
        <v>125458810.89</v>
      </c>
      <c r="T131" s="59">
        <v>125458810.89</v>
      </c>
    </row>
    <row r="132" spans="1:20" s="102" customFormat="1" ht="51.75" customHeight="1" x14ac:dyDescent="0.25">
      <c r="A132" s="95" t="s">
        <v>18</v>
      </c>
      <c r="B132" s="98" t="s">
        <v>89</v>
      </c>
      <c r="C132" s="98" t="s">
        <v>90</v>
      </c>
      <c r="D132" s="98" t="s">
        <v>7</v>
      </c>
      <c r="E132" s="98"/>
      <c r="F132" s="98"/>
      <c r="G132" s="12" t="s">
        <v>210</v>
      </c>
      <c r="H132" s="98" t="s">
        <v>5</v>
      </c>
      <c r="I132" s="99">
        <v>10</v>
      </c>
      <c r="J132" s="100">
        <f>J133+J134+J135</f>
        <v>4994096000</v>
      </c>
      <c r="K132" s="48">
        <f t="shared" ref="K132:N132" si="86">K133+K134+K135</f>
        <v>25241646</v>
      </c>
      <c r="L132" s="48">
        <f t="shared" si="86"/>
        <v>25241646</v>
      </c>
      <c r="M132" s="48">
        <f>M133+M134+M135</f>
        <v>4994096000</v>
      </c>
      <c r="N132" s="48">
        <f t="shared" si="86"/>
        <v>0</v>
      </c>
      <c r="O132" s="48">
        <f>O133+O134+O135</f>
        <v>4958455138</v>
      </c>
      <c r="P132" s="48">
        <f>P133+P134+P135</f>
        <v>35640862</v>
      </c>
      <c r="Q132" s="48">
        <f>Q133+Q134+Q135</f>
        <v>4958455138</v>
      </c>
      <c r="R132" s="26">
        <f t="shared" si="78"/>
        <v>0.99286340070355072</v>
      </c>
      <c r="S132" s="48">
        <f>S133+S134+S135</f>
        <v>1588009693</v>
      </c>
      <c r="T132" s="101">
        <f>T133+T134+T135</f>
        <v>1574914213</v>
      </c>
    </row>
    <row r="133" spans="1:20" ht="65.25" customHeight="1" x14ac:dyDescent="0.25">
      <c r="A133" s="94" t="s">
        <v>18</v>
      </c>
      <c r="B133" s="56" t="s">
        <v>89</v>
      </c>
      <c r="C133" s="56" t="s">
        <v>90</v>
      </c>
      <c r="D133" s="56" t="s">
        <v>7</v>
      </c>
      <c r="E133" s="56" t="s">
        <v>217</v>
      </c>
      <c r="F133" s="56" t="s">
        <v>151</v>
      </c>
      <c r="G133" s="23" t="s">
        <v>169</v>
      </c>
      <c r="H133" s="56" t="s">
        <v>5</v>
      </c>
      <c r="I133" s="57">
        <v>10</v>
      </c>
      <c r="J133" s="44">
        <v>1818315235</v>
      </c>
      <c r="K133" s="44">
        <v>0</v>
      </c>
      <c r="L133" s="44"/>
      <c r="M133" s="44">
        <f t="shared" si="85"/>
        <v>1818315235</v>
      </c>
      <c r="N133" s="44">
        <v>0</v>
      </c>
      <c r="O133" s="44">
        <v>1815916773</v>
      </c>
      <c r="P133" s="44">
        <f t="shared" si="82"/>
        <v>2398462</v>
      </c>
      <c r="Q133" s="58">
        <v>1815916773</v>
      </c>
      <c r="R133" s="25">
        <f t="shared" si="78"/>
        <v>0.99868094269143604</v>
      </c>
      <c r="S133" s="58">
        <v>58684850</v>
      </c>
      <c r="T133" s="59">
        <v>58684850</v>
      </c>
    </row>
    <row r="134" spans="1:20" ht="76.5" customHeight="1" x14ac:dyDescent="0.25">
      <c r="A134" s="94" t="s">
        <v>18</v>
      </c>
      <c r="B134" s="56" t="s">
        <v>89</v>
      </c>
      <c r="C134" s="56" t="s">
        <v>90</v>
      </c>
      <c r="D134" s="56" t="s">
        <v>7</v>
      </c>
      <c r="E134" s="56" t="s">
        <v>217</v>
      </c>
      <c r="F134" s="56" t="s">
        <v>152</v>
      </c>
      <c r="G134" s="23" t="s">
        <v>170</v>
      </c>
      <c r="H134" s="56" t="s">
        <v>5</v>
      </c>
      <c r="I134" s="57">
        <v>10</v>
      </c>
      <c r="J134" s="44">
        <v>2064577180</v>
      </c>
      <c r="K134" s="44"/>
      <c r="L134" s="44">
        <v>25241646</v>
      </c>
      <c r="M134" s="44">
        <f t="shared" si="85"/>
        <v>2039335534</v>
      </c>
      <c r="N134" s="44">
        <v>0</v>
      </c>
      <c r="O134" s="44">
        <v>2006093134</v>
      </c>
      <c r="P134" s="44">
        <f t="shared" ref="P134:P135" si="87">+M134-O134-N134</f>
        <v>33242400</v>
      </c>
      <c r="Q134" s="58">
        <v>2006093134</v>
      </c>
      <c r="R134" s="25">
        <f t="shared" si="78"/>
        <v>0.98369939647214522</v>
      </c>
      <c r="S134" s="58">
        <v>1375597336</v>
      </c>
      <c r="T134" s="59">
        <v>1362501856</v>
      </c>
    </row>
    <row r="135" spans="1:20" ht="63.75" customHeight="1" x14ac:dyDescent="0.25">
      <c r="A135" s="94" t="s">
        <v>18</v>
      </c>
      <c r="B135" s="56" t="s">
        <v>89</v>
      </c>
      <c r="C135" s="56" t="s">
        <v>90</v>
      </c>
      <c r="D135" s="56" t="s">
        <v>7</v>
      </c>
      <c r="E135" s="56" t="s">
        <v>217</v>
      </c>
      <c r="F135" s="56" t="s">
        <v>153</v>
      </c>
      <c r="G135" s="23" t="s">
        <v>171</v>
      </c>
      <c r="H135" s="56" t="s">
        <v>5</v>
      </c>
      <c r="I135" s="57">
        <v>10</v>
      </c>
      <c r="J135" s="44">
        <v>1111203585</v>
      </c>
      <c r="K135" s="44">
        <v>25241646</v>
      </c>
      <c r="L135" s="44">
        <v>0</v>
      </c>
      <c r="M135" s="44">
        <f t="shared" si="85"/>
        <v>1136445231</v>
      </c>
      <c r="N135" s="44">
        <v>0</v>
      </c>
      <c r="O135" s="44">
        <v>1136445231</v>
      </c>
      <c r="P135" s="44">
        <f t="shared" si="87"/>
        <v>0</v>
      </c>
      <c r="Q135" s="58">
        <v>1136445231</v>
      </c>
      <c r="R135" s="25">
        <f t="shared" si="78"/>
        <v>1</v>
      </c>
      <c r="S135" s="58">
        <v>153727507</v>
      </c>
      <c r="T135" s="59">
        <v>153727507</v>
      </c>
    </row>
    <row r="136" spans="1:20" ht="49.5" customHeight="1" x14ac:dyDescent="0.25">
      <c r="A136" s="95" t="s">
        <v>18</v>
      </c>
      <c r="B136" s="98" t="s">
        <v>89</v>
      </c>
      <c r="C136" s="98" t="s">
        <v>90</v>
      </c>
      <c r="D136" s="98" t="s">
        <v>92</v>
      </c>
      <c r="E136" s="98"/>
      <c r="F136" s="98"/>
      <c r="G136" s="12" t="s">
        <v>196</v>
      </c>
      <c r="H136" s="98" t="s">
        <v>5</v>
      </c>
      <c r="I136" s="99">
        <v>10</v>
      </c>
      <c r="J136" s="48">
        <f>J138</f>
        <v>4917600000</v>
      </c>
      <c r="K136" s="48">
        <f t="shared" ref="K136:T136" si="88">K138</f>
        <v>0</v>
      </c>
      <c r="L136" s="48">
        <f t="shared" si="88"/>
        <v>0</v>
      </c>
      <c r="M136" s="48">
        <f>M138</f>
        <v>4917600000</v>
      </c>
      <c r="N136" s="48">
        <f t="shared" si="88"/>
        <v>0</v>
      </c>
      <c r="O136" s="48">
        <f t="shared" si="88"/>
        <v>4914118312</v>
      </c>
      <c r="P136" s="48">
        <f>P138</f>
        <v>3481688</v>
      </c>
      <c r="Q136" s="48">
        <f t="shared" si="88"/>
        <v>4776920454</v>
      </c>
      <c r="R136" s="26">
        <f t="shared" si="78"/>
        <v>0.97139264153245486</v>
      </c>
      <c r="S136" s="100">
        <f t="shared" si="88"/>
        <v>4324880671</v>
      </c>
      <c r="T136" s="101">
        <f t="shared" si="88"/>
        <v>4324880671</v>
      </c>
    </row>
    <row r="137" spans="1:20" ht="49.5" customHeight="1" x14ac:dyDescent="0.25">
      <c r="A137" s="95" t="s">
        <v>18</v>
      </c>
      <c r="B137" s="98" t="s">
        <v>89</v>
      </c>
      <c r="C137" s="98" t="s">
        <v>90</v>
      </c>
      <c r="D137" s="98" t="s">
        <v>92</v>
      </c>
      <c r="E137" s="98"/>
      <c r="F137" s="98"/>
      <c r="G137" s="12" t="s">
        <v>196</v>
      </c>
      <c r="H137" s="98" t="s">
        <v>8</v>
      </c>
      <c r="I137" s="99">
        <v>21</v>
      </c>
      <c r="J137" s="48">
        <f>J139</f>
        <v>2880000</v>
      </c>
      <c r="K137" s="48">
        <f t="shared" ref="K137:T137" si="89">K139</f>
        <v>0</v>
      </c>
      <c r="L137" s="48">
        <f t="shared" si="89"/>
        <v>0</v>
      </c>
      <c r="M137" s="48">
        <f t="shared" si="89"/>
        <v>2880000</v>
      </c>
      <c r="N137" s="48">
        <f t="shared" si="89"/>
        <v>0</v>
      </c>
      <c r="O137" s="48">
        <f t="shared" si="89"/>
        <v>2880000</v>
      </c>
      <c r="P137" s="48">
        <f>P139</f>
        <v>0</v>
      </c>
      <c r="Q137" s="100">
        <f t="shared" si="89"/>
        <v>2880000</v>
      </c>
      <c r="R137" s="26">
        <f t="shared" si="78"/>
        <v>1</v>
      </c>
      <c r="S137" s="100">
        <f t="shared" si="89"/>
        <v>363150</v>
      </c>
      <c r="T137" s="101">
        <f t="shared" si="89"/>
        <v>363150</v>
      </c>
    </row>
    <row r="138" spans="1:20" ht="33.75" customHeight="1" x14ac:dyDescent="0.25">
      <c r="A138" s="94" t="s">
        <v>18</v>
      </c>
      <c r="B138" s="56" t="s">
        <v>89</v>
      </c>
      <c r="C138" s="56" t="s">
        <v>90</v>
      </c>
      <c r="D138" s="56" t="s">
        <v>92</v>
      </c>
      <c r="E138" s="56" t="s">
        <v>143</v>
      </c>
      <c r="F138" s="56" t="s">
        <v>147</v>
      </c>
      <c r="G138" s="23" t="s">
        <v>172</v>
      </c>
      <c r="H138" s="56" t="s">
        <v>5</v>
      </c>
      <c r="I138" s="57">
        <v>10</v>
      </c>
      <c r="J138" s="58">
        <v>4917600000</v>
      </c>
      <c r="K138" s="58">
        <v>0</v>
      </c>
      <c r="L138" s="44">
        <v>0</v>
      </c>
      <c r="M138" s="44">
        <f t="shared" si="85"/>
        <v>4917600000</v>
      </c>
      <c r="N138" s="44">
        <v>0</v>
      </c>
      <c r="O138" s="44">
        <v>4914118312</v>
      </c>
      <c r="P138" s="44">
        <f t="shared" si="82"/>
        <v>3481688</v>
      </c>
      <c r="Q138" s="58">
        <v>4776920454</v>
      </c>
      <c r="R138" s="25">
        <f t="shared" si="78"/>
        <v>0.97139264153245486</v>
      </c>
      <c r="S138" s="58">
        <v>4324880671</v>
      </c>
      <c r="T138" s="59">
        <v>4324880671</v>
      </c>
    </row>
    <row r="139" spans="1:20" ht="41.25" customHeight="1" x14ac:dyDescent="0.25">
      <c r="A139" s="94" t="s">
        <v>18</v>
      </c>
      <c r="B139" s="56" t="s">
        <v>89</v>
      </c>
      <c r="C139" s="56" t="s">
        <v>90</v>
      </c>
      <c r="D139" s="56" t="s">
        <v>92</v>
      </c>
      <c r="E139" s="56" t="s">
        <v>143</v>
      </c>
      <c r="F139" s="56" t="s">
        <v>148</v>
      </c>
      <c r="G139" s="23" t="s">
        <v>173</v>
      </c>
      <c r="H139" s="56" t="s">
        <v>8</v>
      </c>
      <c r="I139" s="57">
        <v>21</v>
      </c>
      <c r="J139" s="58">
        <v>2880000</v>
      </c>
      <c r="K139" s="58">
        <v>0</v>
      </c>
      <c r="L139" s="44">
        <v>0</v>
      </c>
      <c r="M139" s="44">
        <f t="shared" si="85"/>
        <v>2880000</v>
      </c>
      <c r="N139" s="44">
        <v>0</v>
      </c>
      <c r="O139" s="44">
        <v>2880000</v>
      </c>
      <c r="P139" s="44">
        <f t="shared" si="82"/>
        <v>0</v>
      </c>
      <c r="Q139" s="58">
        <v>2880000</v>
      </c>
      <c r="R139" s="25">
        <f t="shared" si="78"/>
        <v>1</v>
      </c>
      <c r="S139" s="58">
        <v>363150</v>
      </c>
      <c r="T139" s="59">
        <v>363150</v>
      </c>
    </row>
    <row r="140" spans="1:20" ht="51.75" customHeight="1" x14ac:dyDescent="0.25">
      <c r="A140" s="95" t="s">
        <v>18</v>
      </c>
      <c r="B140" s="98" t="s">
        <v>89</v>
      </c>
      <c r="C140" s="98" t="s">
        <v>90</v>
      </c>
      <c r="D140" s="98" t="s">
        <v>93</v>
      </c>
      <c r="E140" s="98"/>
      <c r="F140" s="98"/>
      <c r="G140" s="12" t="s">
        <v>197</v>
      </c>
      <c r="H140" s="98" t="s">
        <v>5</v>
      </c>
      <c r="I140" s="99">
        <v>10</v>
      </c>
      <c r="J140" s="100">
        <f>J141+J142+J143</f>
        <v>4764608000</v>
      </c>
      <c r="K140" s="100">
        <f>K141+K142+K143</f>
        <v>0</v>
      </c>
      <c r="L140" s="48">
        <f>L141+L142+L143</f>
        <v>0</v>
      </c>
      <c r="M140" s="48">
        <f t="shared" ref="M140:T140" si="90">M141+M142+M143</f>
        <v>4764608000</v>
      </c>
      <c r="N140" s="48">
        <f t="shared" si="90"/>
        <v>0</v>
      </c>
      <c r="O140" s="48">
        <f t="shared" si="90"/>
        <v>4764607969</v>
      </c>
      <c r="P140" s="48">
        <f>P141+P142+P143</f>
        <v>31</v>
      </c>
      <c r="Q140" s="100">
        <f t="shared" si="90"/>
        <v>4569555124</v>
      </c>
      <c r="R140" s="26">
        <f t="shared" si="78"/>
        <v>0.95906213564683596</v>
      </c>
      <c r="S140" s="100">
        <f t="shared" si="90"/>
        <v>3044622297</v>
      </c>
      <c r="T140" s="101">
        <f t="shared" si="90"/>
        <v>3044622297</v>
      </c>
    </row>
    <row r="141" spans="1:20" ht="58.5" customHeight="1" x14ac:dyDescent="0.25">
      <c r="A141" s="94" t="s">
        <v>18</v>
      </c>
      <c r="B141" s="56" t="s">
        <v>89</v>
      </c>
      <c r="C141" s="56" t="s">
        <v>90</v>
      </c>
      <c r="D141" s="56" t="s">
        <v>93</v>
      </c>
      <c r="E141" s="56" t="s">
        <v>218</v>
      </c>
      <c r="F141" s="56" t="s">
        <v>154</v>
      </c>
      <c r="G141" s="23" t="s">
        <v>174</v>
      </c>
      <c r="H141" s="56" t="s">
        <v>5</v>
      </c>
      <c r="I141" s="57">
        <v>10</v>
      </c>
      <c r="J141" s="44">
        <v>3205330979</v>
      </c>
      <c r="K141" s="44"/>
      <c r="L141" s="44">
        <v>0</v>
      </c>
      <c r="M141" s="44">
        <f t="shared" si="85"/>
        <v>3205330979</v>
      </c>
      <c r="N141" s="44">
        <v>0</v>
      </c>
      <c r="O141" s="44">
        <v>3205330948</v>
      </c>
      <c r="P141" s="44">
        <f t="shared" si="82"/>
        <v>31</v>
      </c>
      <c r="Q141" s="58">
        <v>3205330948</v>
      </c>
      <c r="R141" s="25">
        <f t="shared" si="78"/>
        <v>0.99999999032861187</v>
      </c>
      <c r="S141" s="58">
        <v>3044622297</v>
      </c>
      <c r="T141" s="59">
        <v>3044622297</v>
      </c>
    </row>
    <row r="142" spans="1:20" ht="57.75" customHeight="1" x14ac:dyDescent="0.25">
      <c r="A142" s="94" t="s">
        <v>18</v>
      </c>
      <c r="B142" s="56" t="s">
        <v>89</v>
      </c>
      <c r="C142" s="56" t="s">
        <v>90</v>
      </c>
      <c r="D142" s="56" t="s">
        <v>93</v>
      </c>
      <c r="E142" s="56" t="s">
        <v>218</v>
      </c>
      <c r="F142" s="56" t="s">
        <v>155</v>
      </c>
      <c r="G142" s="23" t="s">
        <v>175</v>
      </c>
      <c r="H142" s="56" t="s">
        <v>5</v>
      </c>
      <c r="I142" s="57">
        <v>10</v>
      </c>
      <c r="J142" s="44">
        <v>1323487621</v>
      </c>
      <c r="K142" s="44">
        <v>0</v>
      </c>
      <c r="L142" s="44"/>
      <c r="M142" s="44">
        <f t="shared" si="85"/>
        <v>1323487621</v>
      </c>
      <c r="N142" s="44">
        <v>0</v>
      </c>
      <c r="O142" s="44">
        <v>1323487621</v>
      </c>
      <c r="P142" s="44">
        <f t="shared" ref="P142:P143" si="91">+M142-O142-N142</f>
        <v>0</v>
      </c>
      <c r="Q142" s="58">
        <v>1128434776</v>
      </c>
      <c r="R142" s="25">
        <f t="shared" si="78"/>
        <v>0.85262208583966803</v>
      </c>
      <c r="S142" s="58">
        <v>0</v>
      </c>
      <c r="T142" s="59">
        <v>0</v>
      </c>
    </row>
    <row r="143" spans="1:20" ht="57" customHeight="1" x14ac:dyDescent="0.25">
      <c r="A143" s="94" t="s">
        <v>18</v>
      </c>
      <c r="B143" s="56" t="s">
        <v>89</v>
      </c>
      <c r="C143" s="56" t="s">
        <v>90</v>
      </c>
      <c r="D143" s="56" t="s">
        <v>93</v>
      </c>
      <c r="E143" s="56" t="s">
        <v>218</v>
      </c>
      <c r="F143" s="56" t="s">
        <v>156</v>
      </c>
      <c r="G143" s="23" t="s">
        <v>176</v>
      </c>
      <c r="H143" s="56" t="s">
        <v>5</v>
      </c>
      <c r="I143" s="57">
        <v>10</v>
      </c>
      <c r="J143" s="44">
        <v>235789400</v>
      </c>
      <c r="K143" s="44">
        <v>0</v>
      </c>
      <c r="L143" s="44"/>
      <c r="M143" s="44">
        <f t="shared" si="85"/>
        <v>235789400</v>
      </c>
      <c r="N143" s="44">
        <v>0</v>
      </c>
      <c r="O143" s="44">
        <v>235789400</v>
      </c>
      <c r="P143" s="44">
        <f t="shared" si="91"/>
        <v>0</v>
      </c>
      <c r="Q143" s="58">
        <v>235789400</v>
      </c>
      <c r="R143" s="25">
        <f t="shared" si="78"/>
        <v>1</v>
      </c>
      <c r="S143" s="58">
        <v>0</v>
      </c>
      <c r="T143" s="59">
        <v>0</v>
      </c>
    </row>
    <row r="144" spans="1:20" ht="48" customHeight="1" x14ac:dyDescent="0.25">
      <c r="A144" s="95" t="s">
        <v>18</v>
      </c>
      <c r="B144" s="98" t="s">
        <v>89</v>
      </c>
      <c r="C144" s="98" t="s">
        <v>90</v>
      </c>
      <c r="D144" s="98" t="s">
        <v>94</v>
      </c>
      <c r="E144" s="98"/>
      <c r="F144" s="98"/>
      <c r="G144" s="12" t="s">
        <v>198</v>
      </c>
      <c r="H144" s="98" t="s">
        <v>5</v>
      </c>
      <c r="I144" s="99">
        <v>10</v>
      </c>
      <c r="J144" s="48">
        <f>J146+J147</f>
        <v>9851592000</v>
      </c>
      <c r="K144" s="48">
        <f t="shared" ref="K144:Q144" si="92">K146+K147</f>
        <v>0</v>
      </c>
      <c r="L144" s="48">
        <f t="shared" si="92"/>
        <v>0</v>
      </c>
      <c r="M144" s="48">
        <f t="shared" si="92"/>
        <v>9851592000</v>
      </c>
      <c r="N144" s="48">
        <f t="shared" si="92"/>
        <v>0</v>
      </c>
      <c r="O144" s="48">
        <f t="shared" si="92"/>
        <v>9319904206.5599995</v>
      </c>
      <c r="P144" s="48">
        <f t="shared" si="92"/>
        <v>531687793.44000006</v>
      </c>
      <c r="Q144" s="100">
        <f t="shared" si="92"/>
        <v>7590829410.5599995</v>
      </c>
      <c r="R144" s="26">
        <f t="shared" si="78"/>
        <v>0.77051804526212608</v>
      </c>
      <c r="S144" s="100">
        <f t="shared" ref="S144:T144" si="93">S146+S147</f>
        <v>1597698231.8399999</v>
      </c>
      <c r="T144" s="101">
        <f t="shared" si="93"/>
        <v>1501598231.8399999</v>
      </c>
    </row>
    <row r="145" spans="1:20" ht="46.5" customHeight="1" x14ac:dyDescent="0.25">
      <c r="A145" s="95" t="s">
        <v>18</v>
      </c>
      <c r="B145" s="98" t="s">
        <v>89</v>
      </c>
      <c r="C145" s="98" t="s">
        <v>90</v>
      </c>
      <c r="D145" s="98" t="s">
        <v>94</v>
      </c>
      <c r="E145" s="98"/>
      <c r="F145" s="98"/>
      <c r="G145" s="117" t="s">
        <v>198</v>
      </c>
      <c r="H145" s="98" t="s">
        <v>5</v>
      </c>
      <c r="I145" s="99">
        <v>21</v>
      </c>
      <c r="J145" s="100">
        <f>J148</f>
        <v>1191767000</v>
      </c>
      <c r="K145" s="100">
        <f t="shared" ref="K145:Q145" si="94">K148</f>
        <v>0</v>
      </c>
      <c r="L145" s="48">
        <f t="shared" si="94"/>
        <v>0</v>
      </c>
      <c r="M145" s="48">
        <f t="shared" si="94"/>
        <v>1191767000</v>
      </c>
      <c r="N145" s="48">
        <f t="shared" si="94"/>
        <v>0</v>
      </c>
      <c r="O145" s="48">
        <f t="shared" si="94"/>
        <v>1191767000</v>
      </c>
      <c r="P145" s="48">
        <f t="shared" si="94"/>
        <v>0</v>
      </c>
      <c r="Q145" s="100">
        <f t="shared" si="94"/>
        <v>1191767000</v>
      </c>
      <c r="R145" s="26">
        <f t="shared" si="78"/>
        <v>1</v>
      </c>
      <c r="S145" s="100">
        <f t="shared" ref="S145:T145" si="95">S148</f>
        <v>0</v>
      </c>
      <c r="T145" s="101">
        <f t="shared" si="95"/>
        <v>0</v>
      </c>
    </row>
    <row r="146" spans="1:20" ht="46.5" customHeight="1" x14ac:dyDescent="0.25">
      <c r="A146" s="94" t="s">
        <v>18</v>
      </c>
      <c r="B146" s="56" t="s">
        <v>89</v>
      </c>
      <c r="C146" s="56" t="s">
        <v>90</v>
      </c>
      <c r="D146" s="56" t="s">
        <v>94</v>
      </c>
      <c r="E146" s="56" t="s">
        <v>216</v>
      </c>
      <c r="F146" s="56" t="s">
        <v>157</v>
      </c>
      <c r="G146" s="23" t="s">
        <v>177</v>
      </c>
      <c r="H146" s="56" t="s">
        <v>5</v>
      </c>
      <c r="I146" s="57">
        <v>10</v>
      </c>
      <c r="J146" s="58">
        <v>4332952000</v>
      </c>
      <c r="K146" s="58">
        <v>0</v>
      </c>
      <c r="L146" s="44"/>
      <c r="M146" s="44">
        <f>J146+K146-L146</f>
        <v>4332952000</v>
      </c>
      <c r="N146" s="44">
        <v>0</v>
      </c>
      <c r="O146" s="44">
        <v>4100340625.4699998</v>
      </c>
      <c r="P146" s="44">
        <f>+M146-O146-N146</f>
        <v>232611374.53000021</v>
      </c>
      <c r="Q146" s="58">
        <v>3642461774.4699998</v>
      </c>
      <c r="R146" s="25">
        <f t="shared" si="78"/>
        <v>0.84064207830365989</v>
      </c>
      <c r="S146" s="58">
        <v>232077130</v>
      </c>
      <c r="T146" s="59">
        <v>135977130</v>
      </c>
    </row>
    <row r="147" spans="1:20" ht="41.25" customHeight="1" x14ac:dyDescent="0.25">
      <c r="A147" s="94" t="s">
        <v>18</v>
      </c>
      <c r="B147" s="56" t="s">
        <v>89</v>
      </c>
      <c r="C147" s="56" t="s">
        <v>90</v>
      </c>
      <c r="D147" s="56" t="s">
        <v>94</v>
      </c>
      <c r="E147" s="56" t="s">
        <v>216</v>
      </c>
      <c r="F147" s="56" t="s">
        <v>158</v>
      </c>
      <c r="G147" s="23" t="s">
        <v>178</v>
      </c>
      <c r="H147" s="56" t="s">
        <v>5</v>
      </c>
      <c r="I147" s="57">
        <v>10</v>
      </c>
      <c r="J147" s="44">
        <v>5518640000</v>
      </c>
      <c r="K147" s="44"/>
      <c r="L147" s="44"/>
      <c r="M147" s="44">
        <f>J147+K147-L147</f>
        <v>5518640000</v>
      </c>
      <c r="N147" s="44">
        <v>0</v>
      </c>
      <c r="O147" s="44">
        <v>5219563581.0900002</v>
      </c>
      <c r="P147" s="44">
        <f>+M147-O147-N147</f>
        <v>299076418.90999985</v>
      </c>
      <c r="Q147" s="58">
        <v>3948367636.0900002</v>
      </c>
      <c r="R147" s="25">
        <f t="shared" si="78"/>
        <v>0.71546026486416947</v>
      </c>
      <c r="S147" s="58">
        <v>1365621101.8399999</v>
      </c>
      <c r="T147" s="59">
        <v>1365621101.8399999</v>
      </c>
    </row>
    <row r="148" spans="1:20" ht="41.25" customHeight="1" x14ac:dyDescent="0.25">
      <c r="A148" s="94" t="s">
        <v>18</v>
      </c>
      <c r="B148" s="56" t="s">
        <v>89</v>
      </c>
      <c r="C148" s="56" t="s">
        <v>90</v>
      </c>
      <c r="D148" s="56" t="s">
        <v>94</v>
      </c>
      <c r="E148" s="56" t="s">
        <v>216</v>
      </c>
      <c r="F148" s="56" t="s">
        <v>157</v>
      </c>
      <c r="G148" s="23" t="s">
        <v>177</v>
      </c>
      <c r="H148" s="56" t="s">
        <v>8</v>
      </c>
      <c r="I148" s="57">
        <v>21</v>
      </c>
      <c r="J148" s="44">
        <v>1191767000</v>
      </c>
      <c r="K148" s="44">
        <v>0</v>
      </c>
      <c r="L148" s="44"/>
      <c r="M148" s="44">
        <f t="shared" si="85"/>
        <v>1191767000</v>
      </c>
      <c r="N148" s="44">
        <v>0</v>
      </c>
      <c r="O148" s="44">
        <v>1191767000</v>
      </c>
      <c r="P148" s="44">
        <f t="shared" ref="P148" si="96">+M148-O148-N148</f>
        <v>0</v>
      </c>
      <c r="Q148" s="58">
        <v>1191767000</v>
      </c>
      <c r="R148" s="25">
        <f t="shared" si="78"/>
        <v>1</v>
      </c>
      <c r="S148" s="115">
        <v>0</v>
      </c>
      <c r="T148" s="59">
        <v>0</v>
      </c>
    </row>
    <row r="149" spans="1:20" s="102" customFormat="1" ht="41.25" customHeight="1" x14ac:dyDescent="0.25">
      <c r="A149" s="95" t="s">
        <v>18</v>
      </c>
      <c r="B149" s="98" t="s">
        <v>89</v>
      </c>
      <c r="C149" s="98" t="s">
        <v>90</v>
      </c>
      <c r="D149" s="98" t="s">
        <v>95</v>
      </c>
      <c r="E149" s="98"/>
      <c r="F149" s="98"/>
      <c r="G149" s="117" t="s">
        <v>211</v>
      </c>
      <c r="H149" s="98" t="s">
        <v>5</v>
      </c>
      <c r="I149" s="99">
        <v>10</v>
      </c>
      <c r="J149" s="48">
        <f>J150+J151+J152</f>
        <v>1900000000</v>
      </c>
      <c r="K149" s="48">
        <f>K150+K151+K152</f>
        <v>65000000</v>
      </c>
      <c r="L149" s="48">
        <f t="shared" ref="L149:T149" si="97">L150+L151+L152</f>
        <v>65000000</v>
      </c>
      <c r="M149" s="48">
        <f t="shared" si="97"/>
        <v>1900000000</v>
      </c>
      <c r="N149" s="48">
        <f t="shared" si="97"/>
        <v>0</v>
      </c>
      <c r="O149" s="48">
        <f t="shared" si="97"/>
        <v>1629114455</v>
      </c>
      <c r="P149" s="48">
        <f>P150+P151+P152</f>
        <v>270885545</v>
      </c>
      <c r="Q149" s="100">
        <f t="shared" si="97"/>
        <v>1629114455</v>
      </c>
      <c r="R149" s="26">
        <f t="shared" si="78"/>
        <v>0.85742866052631583</v>
      </c>
      <c r="S149" s="100">
        <f t="shared" si="97"/>
        <v>104000000</v>
      </c>
      <c r="T149" s="101">
        <f t="shared" si="97"/>
        <v>104000000</v>
      </c>
    </row>
    <row r="150" spans="1:20" s="47" customFormat="1" ht="55.5" customHeight="1" x14ac:dyDescent="0.25">
      <c r="A150" s="94" t="s">
        <v>18</v>
      </c>
      <c r="B150" s="56" t="s">
        <v>89</v>
      </c>
      <c r="C150" s="56" t="s">
        <v>90</v>
      </c>
      <c r="D150" s="56" t="s">
        <v>95</v>
      </c>
      <c r="E150" s="56" t="s">
        <v>216</v>
      </c>
      <c r="F150" s="56" t="s">
        <v>159</v>
      </c>
      <c r="G150" s="23" t="s">
        <v>179</v>
      </c>
      <c r="H150" s="56" t="s">
        <v>5</v>
      </c>
      <c r="I150" s="57">
        <v>10</v>
      </c>
      <c r="J150" s="58">
        <v>440000000</v>
      </c>
      <c r="K150" s="44">
        <v>0</v>
      </c>
      <c r="L150" s="44">
        <v>35000000</v>
      </c>
      <c r="M150" s="44">
        <f t="shared" si="85"/>
        <v>405000000</v>
      </c>
      <c r="N150" s="113">
        <v>0</v>
      </c>
      <c r="O150" s="44">
        <v>354904954</v>
      </c>
      <c r="P150" s="44">
        <f t="shared" si="82"/>
        <v>50095046</v>
      </c>
      <c r="Q150" s="58">
        <v>354904954</v>
      </c>
      <c r="R150" s="25">
        <f t="shared" si="78"/>
        <v>0.87630852839506168</v>
      </c>
      <c r="S150" s="58">
        <v>104000000</v>
      </c>
      <c r="T150" s="59">
        <v>104000000</v>
      </c>
    </row>
    <row r="151" spans="1:20" s="47" customFormat="1" ht="48" customHeight="1" x14ac:dyDescent="0.25">
      <c r="A151" s="94" t="s">
        <v>18</v>
      </c>
      <c r="B151" s="56" t="s">
        <v>89</v>
      </c>
      <c r="C151" s="56" t="s">
        <v>90</v>
      </c>
      <c r="D151" s="56" t="s">
        <v>95</v>
      </c>
      <c r="E151" s="56" t="s">
        <v>216</v>
      </c>
      <c r="F151" s="56" t="s">
        <v>160</v>
      </c>
      <c r="G151" s="23" t="s">
        <v>180</v>
      </c>
      <c r="H151" s="56" t="s">
        <v>5</v>
      </c>
      <c r="I151" s="57">
        <v>10</v>
      </c>
      <c r="J151" s="58">
        <v>1300000000</v>
      </c>
      <c r="K151" s="44">
        <v>65000000</v>
      </c>
      <c r="L151" s="44"/>
      <c r="M151" s="44">
        <f t="shared" si="85"/>
        <v>1365000000</v>
      </c>
      <c r="N151" s="113">
        <v>0</v>
      </c>
      <c r="O151" s="44">
        <v>1146385501</v>
      </c>
      <c r="P151" s="44">
        <f t="shared" ref="P151:P152" si="98">+M151-O151-N151</f>
        <v>218614499</v>
      </c>
      <c r="Q151" s="58">
        <v>1146385501</v>
      </c>
      <c r="R151" s="25">
        <f t="shared" si="78"/>
        <v>0.83984285787545787</v>
      </c>
      <c r="S151" s="58">
        <v>0</v>
      </c>
      <c r="T151" s="59">
        <v>0</v>
      </c>
    </row>
    <row r="152" spans="1:20" s="47" customFormat="1" ht="42.75" customHeight="1" x14ac:dyDescent="0.25">
      <c r="A152" s="94" t="s">
        <v>18</v>
      </c>
      <c r="B152" s="56" t="s">
        <v>89</v>
      </c>
      <c r="C152" s="56" t="s">
        <v>90</v>
      </c>
      <c r="D152" s="56" t="s">
        <v>95</v>
      </c>
      <c r="E152" s="56" t="s">
        <v>216</v>
      </c>
      <c r="F152" s="56" t="s">
        <v>161</v>
      </c>
      <c r="G152" s="23" t="s">
        <v>181</v>
      </c>
      <c r="H152" s="56" t="s">
        <v>5</v>
      </c>
      <c r="I152" s="57">
        <v>10</v>
      </c>
      <c r="J152" s="58">
        <v>160000000</v>
      </c>
      <c r="K152" s="44">
        <v>0</v>
      </c>
      <c r="L152" s="44">
        <v>30000000</v>
      </c>
      <c r="M152" s="44">
        <f t="shared" si="85"/>
        <v>130000000</v>
      </c>
      <c r="N152" s="113">
        <v>0</v>
      </c>
      <c r="O152" s="44">
        <v>127824000</v>
      </c>
      <c r="P152" s="44">
        <f t="shared" si="98"/>
        <v>2176000</v>
      </c>
      <c r="Q152" s="58">
        <v>127824000</v>
      </c>
      <c r="R152" s="25">
        <f t="shared" si="78"/>
        <v>0.98326153846153841</v>
      </c>
      <c r="S152" s="58">
        <v>0</v>
      </c>
      <c r="T152" s="59">
        <v>0</v>
      </c>
    </row>
    <row r="153" spans="1:20" s="47" customFormat="1" ht="42.75" customHeight="1" x14ac:dyDescent="0.25">
      <c r="A153" s="95" t="s">
        <v>18</v>
      </c>
      <c r="B153" s="98" t="s">
        <v>89</v>
      </c>
      <c r="C153" s="98" t="s">
        <v>90</v>
      </c>
      <c r="D153" s="98">
        <v>16</v>
      </c>
      <c r="E153" s="98"/>
      <c r="F153" s="98"/>
      <c r="G153" s="12" t="s">
        <v>199</v>
      </c>
      <c r="H153" s="98" t="s">
        <v>5</v>
      </c>
      <c r="I153" s="99">
        <v>10</v>
      </c>
      <c r="J153" s="100">
        <f>J154+J155+J156+J157</f>
        <v>21856000000</v>
      </c>
      <c r="K153" s="48">
        <f t="shared" ref="K153:T153" si="99">K154+K155+K156+K157</f>
        <v>0</v>
      </c>
      <c r="L153" s="48">
        <f t="shared" si="99"/>
        <v>0</v>
      </c>
      <c r="M153" s="48">
        <f>M154+M155+M156+M157</f>
        <v>21856000000</v>
      </c>
      <c r="N153" s="48">
        <f t="shared" si="99"/>
        <v>0</v>
      </c>
      <c r="O153" s="48">
        <f t="shared" si="99"/>
        <v>20581038271.799999</v>
      </c>
      <c r="P153" s="48">
        <f>P154+P155+P156+P157</f>
        <v>1274961728.2</v>
      </c>
      <c r="Q153" s="100">
        <f t="shared" si="99"/>
        <v>16461569724.969999</v>
      </c>
      <c r="R153" s="26">
        <f t="shared" si="78"/>
        <v>0.75318309502974012</v>
      </c>
      <c r="S153" s="100">
        <f t="shared" si="99"/>
        <v>4427456256</v>
      </c>
      <c r="T153" s="101">
        <f t="shared" si="99"/>
        <v>4427456256</v>
      </c>
    </row>
    <row r="154" spans="1:20" s="47" customFormat="1" ht="56.25" customHeight="1" x14ac:dyDescent="0.25">
      <c r="A154" s="94" t="s">
        <v>18</v>
      </c>
      <c r="B154" s="56" t="s">
        <v>89</v>
      </c>
      <c r="C154" s="56" t="s">
        <v>90</v>
      </c>
      <c r="D154" s="56">
        <v>16</v>
      </c>
      <c r="E154" s="56" t="s">
        <v>218</v>
      </c>
      <c r="F154" s="56" t="s">
        <v>149</v>
      </c>
      <c r="G154" s="23" t="s">
        <v>182</v>
      </c>
      <c r="H154" s="56" t="s">
        <v>5</v>
      </c>
      <c r="I154" s="57">
        <v>10</v>
      </c>
      <c r="J154" s="58">
        <v>14263763540</v>
      </c>
      <c r="K154" s="44">
        <v>0</v>
      </c>
      <c r="L154" s="44"/>
      <c r="M154" s="44">
        <f t="shared" si="85"/>
        <v>14263763540</v>
      </c>
      <c r="N154" s="44">
        <v>0</v>
      </c>
      <c r="O154" s="44">
        <v>13114673090.5</v>
      </c>
      <c r="P154" s="44">
        <f t="shared" si="82"/>
        <v>1149090449.5</v>
      </c>
      <c r="Q154" s="58">
        <v>10883136314.67</v>
      </c>
      <c r="R154" s="25">
        <f t="shared" si="78"/>
        <v>0.76299191893852725</v>
      </c>
      <c r="S154" s="58">
        <v>1268114536</v>
      </c>
      <c r="T154" s="59">
        <v>1268114536</v>
      </c>
    </row>
    <row r="155" spans="1:20" s="47" customFormat="1" ht="48.75" customHeight="1" x14ac:dyDescent="0.25">
      <c r="A155" s="94" t="s">
        <v>18</v>
      </c>
      <c r="B155" s="56" t="s">
        <v>89</v>
      </c>
      <c r="C155" s="56" t="s">
        <v>90</v>
      </c>
      <c r="D155" s="56">
        <v>16</v>
      </c>
      <c r="E155" s="56" t="s">
        <v>218</v>
      </c>
      <c r="F155" s="56" t="s">
        <v>147</v>
      </c>
      <c r="G155" s="23" t="s">
        <v>183</v>
      </c>
      <c r="H155" s="56" t="s">
        <v>5</v>
      </c>
      <c r="I155" s="57">
        <v>10</v>
      </c>
      <c r="J155" s="58">
        <v>5531215836</v>
      </c>
      <c r="K155" s="44">
        <v>0</v>
      </c>
      <c r="L155" s="44"/>
      <c r="M155" s="44">
        <f t="shared" si="85"/>
        <v>5531215836</v>
      </c>
      <c r="N155" s="113">
        <v>0</v>
      </c>
      <c r="O155" s="44">
        <v>5529224904</v>
      </c>
      <c r="P155" s="44">
        <f t="shared" ref="P155:P156" si="100">+M155-O155-N155</f>
        <v>1990932</v>
      </c>
      <c r="Q155" s="58">
        <v>4308173955</v>
      </c>
      <c r="R155" s="25">
        <f t="shared" si="78"/>
        <v>0.77888371792693134</v>
      </c>
      <c r="S155" s="58">
        <v>3159341720</v>
      </c>
      <c r="T155" s="59">
        <v>3159341720</v>
      </c>
    </row>
    <row r="156" spans="1:20" s="47" customFormat="1" ht="54" customHeight="1" x14ac:dyDescent="0.25">
      <c r="A156" s="94" t="s">
        <v>18</v>
      </c>
      <c r="B156" s="56" t="s">
        <v>89</v>
      </c>
      <c r="C156" s="56" t="s">
        <v>90</v>
      </c>
      <c r="D156" s="56">
        <v>16</v>
      </c>
      <c r="E156" s="56" t="s">
        <v>218</v>
      </c>
      <c r="F156" s="56" t="s">
        <v>155</v>
      </c>
      <c r="G156" s="23" t="s">
        <v>184</v>
      </c>
      <c r="H156" s="56" t="s">
        <v>5</v>
      </c>
      <c r="I156" s="57">
        <v>10</v>
      </c>
      <c r="J156" s="58">
        <v>1443612624</v>
      </c>
      <c r="K156" s="44">
        <v>0</v>
      </c>
      <c r="L156" s="44"/>
      <c r="M156" s="44">
        <f t="shared" si="85"/>
        <v>1443612624</v>
      </c>
      <c r="N156" s="44">
        <v>0</v>
      </c>
      <c r="O156" s="44">
        <v>1329939234.3</v>
      </c>
      <c r="P156" s="44">
        <f t="shared" si="100"/>
        <v>113673389.70000005</v>
      </c>
      <c r="Q156" s="58">
        <v>1028806652.3</v>
      </c>
      <c r="R156" s="25">
        <f t="shared" si="78"/>
        <v>0.71266116352554143</v>
      </c>
      <c r="S156" s="58">
        <v>0</v>
      </c>
      <c r="T156" s="59">
        <v>0</v>
      </c>
    </row>
    <row r="157" spans="1:20" s="47" customFormat="1" ht="56.25" customHeight="1" x14ac:dyDescent="0.25">
      <c r="A157" s="94" t="s">
        <v>18</v>
      </c>
      <c r="B157" s="56" t="s">
        <v>89</v>
      </c>
      <c r="C157" s="56" t="s">
        <v>90</v>
      </c>
      <c r="D157" s="56">
        <v>16</v>
      </c>
      <c r="E157" s="56" t="s">
        <v>218</v>
      </c>
      <c r="F157" s="56" t="s">
        <v>153</v>
      </c>
      <c r="G157" s="23" t="s">
        <v>185</v>
      </c>
      <c r="H157" s="56" t="s">
        <v>5</v>
      </c>
      <c r="I157" s="57">
        <v>10</v>
      </c>
      <c r="J157" s="58">
        <v>617408000</v>
      </c>
      <c r="K157" s="44">
        <v>0</v>
      </c>
      <c r="L157" s="44"/>
      <c r="M157" s="44">
        <f t="shared" si="85"/>
        <v>617408000</v>
      </c>
      <c r="N157" s="113">
        <v>0</v>
      </c>
      <c r="O157" s="44">
        <v>607201043</v>
      </c>
      <c r="P157" s="114">
        <f>+M157-O157-N157</f>
        <v>10206957</v>
      </c>
      <c r="Q157" s="58">
        <v>241452803</v>
      </c>
      <c r="R157" s="25">
        <f t="shared" si="78"/>
        <v>0.39107495043795998</v>
      </c>
      <c r="S157" s="58">
        <v>0</v>
      </c>
      <c r="T157" s="59">
        <v>0</v>
      </c>
    </row>
    <row r="158" spans="1:20" ht="31.5" customHeight="1" x14ac:dyDescent="0.25">
      <c r="A158" s="95" t="s">
        <v>18</v>
      </c>
      <c r="B158" s="11">
        <v>2999</v>
      </c>
      <c r="C158" s="11"/>
      <c r="D158" s="11"/>
      <c r="E158" s="11"/>
      <c r="F158" s="11"/>
      <c r="G158" s="12" t="s">
        <v>229</v>
      </c>
      <c r="H158" s="11" t="s">
        <v>5</v>
      </c>
      <c r="I158" s="13">
        <v>10</v>
      </c>
      <c r="J158" s="14">
        <f>J159</f>
        <v>52902704000</v>
      </c>
      <c r="K158" s="14">
        <f t="shared" ref="K158:L158" si="101">K159</f>
        <v>0</v>
      </c>
      <c r="L158" s="24">
        <f t="shared" si="101"/>
        <v>0</v>
      </c>
      <c r="M158" s="48">
        <f>M159</f>
        <v>52902704000</v>
      </c>
      <c r="N158" s="24">
        <f>N159</f>
        <v>0</v>
      </c>
      <c r="O158" s="24">
        <f>O159</f>
        <v>47755660380.709999</v>
      </c>
      <c r="P158" s="24">
        <f>P159</f>
        <v>5147043619.289999</v>
      </c>
      <c r="Q158" s="14">
        <f>Q159</f>
        <v>42622365874.709999</v>
      </c>
      <c r="R158" s="26">
        <f t="shared" si="78"/>
        <v>0.80567461872478197</v>
      </c>
      <c r="S158" s="14">
        <f>S159</f>
        <v>15767746665.800001</v>
      </c>
      <c r="T158" s="22">
        <f t="shared" ref="T158" si="102">T159</f>
        <v>15632953485.390001</v>
      </c>
    </row>
    <row r="159" spans="1:20" ht="31.5" customHeight="1" x14ac:dyDescent="0.25">
      <c r="A159" s="95" t="s">
        <v>18</v>
      </c>
      <c r="B159" s="11" t="s">
        <v>96</v>
      </c>
      <c r="C159" s="11" t="s">
        <v>90</v>
      </c>
      <c r="D159" s="11"/>
      <c r="E159" s="11"/>
      <c r="F159" s="11"/>
      <c r="G159" s="12" t="s">
        <v>206</v>
      </c>
      <c r="H159" s="11" t="s">
        <v>5</v>
      </c>
      <c r="I159" s="13">
        <v>10</v>
      </c>
      <c r="J159" s="14">
        <f t="shared" ref="J159:P159" si="103">J160+J162+J165+J168+J170+J172+J174+J177</f>
        <v>52902704000</v>
      </c>
      <c r="K159" s="14">
        <f t="shared" si="103"/>
        <v>0</v>
      </c>
      <c r="L159" s="24">
        <f t="shared" si="103"/>
        <v>0</v>
      </c>
      <c r="M159" s="48">
        <f>M160+M162+M165+M168+M170+M172+M174+M177</f>
        <v>52902704000</v>
      </c>
      <c r="N159" s="24">
        <f t="shared" si="103"/>
        <v>0</v>
      </c>
      <c r="O159" s="24">
        <f t="shared" si="103"/>
        <v>47755660380.709999</v>
      </c>
      <c r="P159" s="24">
        <f t="shared" si="103"/>
        <v>5147043619.289999</v>
      </c>
      <c r="Q159" s="14">
        <f>Q160+Q162+Q165+Q168+Q170+Q172+Q174+Q177</f>
        <v>42622365874.709999</v>
      </c>
      <c r="R159" s="26">
        <f t="shared" si="78"/>
        <v>0.80567461872478197</v>
      </c>
      <c r="S159" s="14">
        <f>S160+S162+S165+S168+S170+S172+S174+S177</f>
        <v>15767746665.800001</v>
      </c>
      <c r="T159" s="22">
        <f>T160+T162+T165+T168+T170+T172+T174+T177</f>
        <v>15632953485.390001</v>
      </c>
    </row>
    <row r="160" spans="1:20" ht="31.5" customHeight="1" x14ac:dyDescent="0.25">
      <c r="A160" s="95" t="s">
        <v>18</v>
      </c>
      <c r="B160" s="11" t="s">
        <v>96</v>
      </c>
      <c r="C160" s="98" t="s">
        <v>90</v>
      </c>
      <c r="D160" s="98" t="s">
        <v>93</v>
      </c>
      <c r="E160" s="11"/>
      <c r="F160" s="11"/>
      <c r="G160" s="12" t="s">
        <v>200</v>
      </c>
      <c r="H160" s="98" t="s">
        <v>5</v>
      </c>
      <c r="I160" s="99">
        <v>10</v>
      </c>
      <c r="J160" s="14">
        <f>J161</f>
        <v>1040000000</v>
      </c>
      <c r="K160" s="24">
        <f t="shared" ref="K160:T160" si="104">K161</f>
        <v>0</v>
      </c>
      <c r="L160" s="24">
        <f t="shared" si="104"/>
        <v>0</v>
      </c>
      <c r="M160" s="48">
        <f t="shared" si="104"/>
        <v>1040000000</v>
      </c>
      <c r="N160" s="24">
        <f t="shared" si="104"/>
        <v>0</v>
      </c>
      <c r="O160" s="24">
        <f>O161</f>
        <v>1039999999.0700001</v>
      </c>
      <c r="P160" s="24">
        <f>P161</f>
        <v>0.9299999475479126</v>
      </c>
      <c r="Q160" s="14">
        <f t="shared" si="104"/>
        <v>1039999999.0700001</v>
      </c>
      <c r="R160" s="26">
        <f t="shared" si="78"/>
        <v>0.99999999910576931</v>
      </c>
      <c r="S160" s="14">
        <f t="shared" si="104"/>
        <v>0</v>
      </c>
      <c r="T160" s="22">
        <f t="shared" si="104"/>
        <v>0</v>
      </c>
    </row>
    <row r="161" spans="1:20" ht="42.75" customHeight="1" x14ac:dyDescent="0.25">
      <c r="A161" s="94" t="s">
        <v>18</v>
      </c>
      <c r="B161" s="7" t="s">
        <v>96</v>
      </c>
      <c r="C161" s="56" t="s">
        <v>90</v>
      </c>
      <c r="D161" s="56" t="s">
        <v>93</v>
      </c>
      <c r="E161" s="56" t="s">
        <v>219</v>
      </c>
      <c r="F161" s="56" t="s">
        <v>164</v>
      </c>
      <c r="G161" s="23" t="s">
        <v>186</v>
      </c>
      <c r="H161" s="56" t="s">
        <v>5</v>
      </c>
      <c r="I161" s="57">
        <v>10</v>
      </c>
      <c r="J161" s="44">
        <v>1040000000</v>
      </c>
      <c r="K161" s="44">
        <v>0</v>
      </c>
      <c r="L161" s="44">
        <v>0</v>
      </c>
      <c r="M161" s="44">
        <f>J161+K161-L161</f>
        <v>1040000000</v>
      </c>
      <c r="N161" s="44">
        <v>0</v>
      </c>
      <c r="O161" s="44">
        <v>1039999999.0700001</v>
      </c>
      <c r="P161" s="27">
        <f t="shared" ref="P161:P173" si="105">+M161-O161-N161</f>
        <v>0.9299999475479126</v>
      </c>
      <c r="Q161" s="58">
        <v>1039999999.0700001</v>
      </c>
      <c r="R161" s="25">
        <f t="shared" si="78"/>
        <v>0.99999999910576931</v>
      </c>
      <c r="S161" s="58">
        <v>0</v>
      </c>
      <c r="T161" s="59">
        <v>0</v>
      </c>
    </row>
    <row r="162" spans="1:20" ht="48" customHeight="1" x14ac:dyDescent="0.25">
      <c r="A162" s="95" t="s">
        <v>18</v>
      </c>
      <c r="B162" s="98" t="s">
        <v>96</v>
      </c>
      <c r="C162" s="98" t="s">
        <v>90</v>
      </c>
      <c r="D162" s="98" t="s">
        <v>94</v>
      </c>
      <c r="E162" s="98"/>
      <c r="F162" s="98"/>
      <c r="G162" s="12" t="s">
        <v>201</v>
      </c>
      <c r="H162" s="98" t="s">
        <v>5</v>
      </c>
      <c r="I162" s="99">
        <v>10</v>
      </c>
      <c r="J162" s="48">
        <f>J163+J164</f>
        <v>23019524233</v>
      </c>
      <c r="K162" s="48">
        <f t="shared" ref="K162:T162" si="106">K163+K164</f>
        <v>0</v>
      </c>
      <c r="L162" s="48">
        <f t="shared" si="106"/>
        <v>0</v>
      </c>
      <c r="M162" s="48">
        <f>M163+M164</f>
        <v>23019524233</v>
      </c>
      <c r="N162" s="48">
        <f t="shared" si="106"/>
        <v>0</v>
      </c>
      <c r="O162" s="48">
        <f>O163+O164+38133389</f>
        <v>21790743488.02</v>
      </c>
      <c r="P162" s="24">
        <f>P163+P164-38133389</f>
        <v>1228780744.9799995</v>
      </c>
      <c r="Q162" s="100">
        <f>Q163+Q164</f>
        <v>18868062295.02</v>
      </c>
      <c r="R162" s="26">
        <f t="shared" si="78"/>
        <v>0.81965474629451263</v>
      </c>
      <c r="S162" s="100">
        <f t="shared" si="106"/>
        <v>12840025029.030001</v>
      </c>
      <c r="T162" s="101">
        <f t="shared" si="106"/>
        <v>12840025029.030001</v>
      </c>
    </row>
    <row r="163" spans="1:20" ht="45" customHeight="1" x14ac:dyDescent="0.25">
      <c r="A163" s="94" t="s">
        <v>18</v>
      </c>
      <c r="B163" s="56" t="s">
        <v>96</v>
      </c>
      <c r="C163" s="56" t="s">
        <v>90</v>
      </c>
      <c r="D163" s="56" t="s">
        <v>94</v>
      </c>
      <c r="E163" s="56" t="s">
        <v>219</v>
      </c>
      <c r="F163" s="56" t="s">
        <v>162</v>
      </c>
      <c r="G163" s="23" t="s">
        <v>187</v>
      </c>
      <c r="H163" s="56" t="s">
        <v>5</v>
      </c>
      <c r="I163" s="57">
        <v>10</v>
      </c>
      <c r="J163" s="58">
        <v>1055000000</v>
      </c>
      <c r="K163" s="44">
        <v>0</v>
      </c>
      <c r="L163" s="44">
        <v>0</v>
      </c>
      <c r="M163" s="44">
        <f t="shared" ref="M163:M180" si="107">J163+K163-L163</f>
        <v>1055000000</v>
      </c>
      <c r="N163" s="44">
        <v>0</v>
      </c>
      <c r="O163" s="44">
        <v>468714439</v>
      </c>
      <c r="P163" s="27">
        <f t="shared" si="105"/>
        <v>586285561</v>
      </c>
      <c r="Q163" s="58">
        <v>152850199</v>
      </c>
      <c r="R163" s="25">
        <f t="shared" si="78"/>
        <v>0.14488170521327015</v>
      </c>
      <c r="S163" s="58">
        <v>0</v>
      </c>
      <c r="T163" s="59">
        <v>0</v>
      </c>
    </row>
    <row r="164" spans="1:20" ht="47.25" customHeight="1" x14ac:dyDescent="0.25">
      <c r="A164" s="94" t="s">
        <v>18</v>
      </c>
      <c r="B164" s="56" t="s">
        <v>96</v>
      </c>
      <c r="C164" s="56" t="s">
        <v>90</v>
      </c>
      <c r="D164" s="56" t="s">
        <v>94</v>
      </c>
      <c r="E164" s="56" t="s">
        <v>219</v>
      </c>
      <c r="F164" s="56" t="s">
        <v>163</v>
      </c>
      <c r="G164" s="23" t="s">
        <v>188</v>
      </c>
      <c r="H164" s="56" t="s">
        <v>5</v>
      </c>
      <c r="I164" s="57">
        <v>10</v>
      </c>
      <c r="J164" s="58">
        <v>21964524233</v>
      </c>
      <c r="K164" s="44">
        <v>0</v>
      </c>
      <c r="L164" s="44">
        <v>0</v>
      </c>
      <c r="M164" s="44">
        <f>J164+K164-L164</f>
        <v>21964524233</v>
      </c>
      <c r="N164" s="44">
        <v>0</v>
      </c>
      <c r="O164" s="44">
        <v>21283895660.02</v>
      </c>
      <c r="P164" s="27">
        <f>+M164-O164-N164</f>
        <v>680628572.97999954</v>
      </c>
      <c r="Q164" s="58">
        <v>18715212096.02</v>
      </c>
      <c r="R164" s="25">
        <f t="shared" si="78"/>
        <v>0.85206544414478325</v>
      </c>
      <c r="S164" s="58">
        <v>12840025029.030001</v>
      </c>
      <c r="T164" s="59">
        <v>12840025029.030001</v>
      </c>
    </row>
    <row r="165" spans="1:20" ht="47.25" customHeight="1" x14ac:dyDescent="0.25">
      <c r="A165" s="95" t="s">
        <v>18</v>
      </c>
      <c r="B165" s="98" t="s">
        <v>96</v>
      </c>
      <c r="C165" s="98" t="s">
        <v>90</v>
      </c>
      <c r="D165" s="98" t="s">
        <v>95</v>
      </c>
      <c r="E165" s="98"/>
      <c r="F165" s="98"/>
      <c r="G165" s="12" t="s">
        <v>202</v>
      </c>
      <c r="H165" s="98" t="s">
        <v>5</v>
      </c>
      <c r="I165" s="99">
        <v>10</v>
      </c>
      <c r="J165" s="100">
        <f>J166+J167</f>
        <v>5464000000</v>
      </c>
      <c r="K165" s="48">
        <f t="shared" ref="K165:T165" si="108">K166+K167</f>
        <v>0</v>
      </c>
      <c r="L165" s="48">
        <f t="shared" si="108"/>
        <v>0</v>
      </c>
      <c r="M165" s="48">
        <f t="shared" si="108"/>
        <v>5464000000</v>
      </c>
      <c r="N165" s="48">
        <f t="shared" si="108"/>
        <v>0</v>
      </c>
      <c r="O165" s="48">
        <f>O166+O167</f>
        <v>5347560620.1199999</v>
      </c>
      <c r="P165" s="24">
        <f>P166+P167</f>
        <v>116439379.88</v>
      </c>
      <c r="Q165" s="100">
        <f t="shared" si="108"/>
        <v>4856831243.1199999</v>
      </c>
      <c r="R165" s="26">
        <f t="shared" si="78"/>
        <v>0.88887833878477307</v>
      </c>
      <c r="S165" s="100">
        <f t="shared" si="108"/>
        <v>2064860692.01</v>
      </c>
      <c r="T165" s="101">
        <f t="shared" si="108"/>
        <v>2060516359.01</v>
      </c>
    </row>
    <row r="166" spans="1:20" ht="41.25" customHeight="1" x14ac:dyDescent="0.25">
      <c r="A166" s="94" t="s">
        <v>18</v>
      </c>
      <c r="B166" s="56" t="s">
        <v>96</v>
      </c>
      <c r="C166" s="56" t="s">
        <v>90</v>
      </c>
      <c r="D166" s="56" t="s">
        <v>95</v>
      </c>
      <c r="E166" s="56" t="s">
        <v>219</v>
      </c>
      <c r="F166" s="56" t="s">
        <v>165</v>
      </c>
      <c r="G166" s="23" t="s">
        <v>189</v>
      </c>
      <c r="H166" s="56" t="s">
        <v>5</v>
      </c>
      <c r="I166" s="57">
        <v>10</v>
      </c>
      <c r="J166" s="58">
        <v>1049493214</v>
      </c>
      <c r="K166" s="44">
        <v>0</v>
      </c>
      <c r="L166" s="44">
        <v>0</v>
      </c>
      <c r="M166" s="44">
        <f t="shared" si="107"/>
        <v>1049493214</v>
      </c>
      <c r="N166" s="44">
        <v>0</v>
      </c>
      <c r="O166" s="44">
        <v>1018305925.16</v>
      </c>
      <c r="P166" s="27">
        <f t="shared" si="105"/>
        <v>31187288.840000033</v>
      </c>
      <c r="Q166" s="58">
        <v>893353544.15999997</v>
      </c>
      <c r="R166" s="25">
        <f t="shared" si="78"/>
        <v>0.85122374517802257</v>
      </c>
      <c r="S166" s="58">
        <v>340969416</v>
      </c>
      <c r="T166" s="59">
        <v>340969416</v>
      </c>
    </row>
    <row r="167" spans="1:20" ht="47.25" customHeight="1" x14ac:dyDescent="0.25">
      <c r="A167" s="94" t="s">
        <v>18</v>
      </c>
      <c r="B167" s="56" t="s">
        <v>96</v>
      </c>
      <c r="C167" s="56" t="s">
        <v>90</v>
      </c>
      <c r="D167" s="56" t="s">
        <v>95</v>
      </c>
      <c r="E167" s="56" t="s">
        <v>219</v>
      </c>
      <c r="F167" s="56" t="s">
        <v>163</v>
      </c>
      <c r="G167" s="23" t="s">
        <v>190</v>
      </c>
      <c r="H167" s="56" t="s">
        <v>5</v>
      </c>
      <c r="I167" s="57">
        <v>10</v>
      </c>
      <c r="J167" s="58">
        <v>4414506786</v>
      </c>
      <c r="K167" s="44">
        <v>0</v>
      </c>
      <c r="L167" s="44">
        <v>0</v>
      </c>
      <c r="M167" s="44">
        <f t="shared" si="107"/>
        <v>4414506786</v>
      </c>
      <c r="N167" s="44">
        <v>0</v>
      </c>
      <c r="O167" s="44">
        <v>4329254694.96</v>
      </c>
      <c r="P167" s="27">
        <f t="shared" ref="P167" si="109">+M167-O167-N167</f>
        <v>85252091.039999962</v>
      </c>
      <c r="Q167" s="58">
        <v>3963477698.96</v>
      </c>
      <c r="R167" s="25">
        <f t="shared" si="78"/>
        <v>0.89783024267390943</v>
      </c>
      <c r="S167" s="58">
        <v>1723891276.01</v>
      </c>
      <c r="T167" s="59">
        <v>1719546943.01</v>
      </c>
    </row>
    <row r="168" spans="1:20" ht="47.25" customHeight="1" x14ac:dyDescent="0.25">
      <c r="A168" s="95" t="s">
        <v>18</v>
      </c>
      <c r="B168" s="98" t="s">
        <v>96</v>
      </c>
      <c r="C168" s="98" t="s">
        <v>90</v>
      </c>
      <c r="D168" s="98">
        <v>16</v>
      </c>
      <c r="E168" s="98"/>
      <c r="F168" s="98"/>
      <c r="G168" s="12" t="s">
        <v>220</v>
      </c>
      <c r="H168" s="98" t="s">
        <v>5</v>
      </c>
      <c r="I168" s="99">
        <v>10</v>
      </c>
      <c r="J168" s="100">
        <f>J169</f>
        <v>45000000</v>
      </c>
      <c r="K168" s="48">
        <f t="shared" ref="K168:Q168" si="110">K169</f>
        <v>0</v>
      </c>
      <c r="L168" s="48">
        <f t="shared" si="110"/>
        <v>0</v>
      </c>
      <c r="M168" s="48">
        <f t="shared" si="110"/>
        <v>45000000</v>
      </c>
      <c r="N168" s="48">
        <f t="shared" si="110"/>
        <v>0</v>
      </c>
      <c r="O168" s="48">
        <f t="shared" si="110"/>
        <v>0</v>
      </c>
      <c r="P168" s="24">
        <f t="shared" si="110"/>
        <v>45000000</v>
      </c>
      <c r="Q168" s="100">
        <f t="shared" si="110"/>
        <v>0</v>
      </c>
      <c r="R168" s="26">
        <f t="shared" si="78"/>
        <v>0</v>
      </c>
      <c r="S168" s="100">
        <f t="shared" ref="S168:T168" si="111">S169</f>
        <v>0</v>
      </c>
      <c r="T168" s="101">
        <f t="shared" si="111"/>
        <v>0</v>
      </c>
    </row>
    <row r="169" spans="1:20" ht="39" customHeight="1" x14ac:dyDescent="0.25">
      <c r="A169" s="94" t="s">
        <v>18</v>
      </c>
      <c r="B169" s="56" t="s">
        <v>96</v>
      </c>
      <c r="C169" s="56" t="s">
        <v>90</v>
      </c>
      <c r="D169" s="56">
        <v>16</v>
      </c>
      <c r="E169" s="56" t="s">
        <v>219</v>
      </c>
      <c r="F169" s="56">
        <v>2999065</v>
      </c>
      <c r="G169" s="23" t="s">
        <v>221</v>
      </c>
      <c r="H169" s="56" t="s">
        <v>5</v>
      </c>
      <c r="I169" s="57">
        <v>10</v>
      </c>
      <c r="J169" s="58">
        <v>45000000</v>
      </c>
      <c r="K169" s="44">
        <v>0</v>
      </c>
      <c r="L169" s="44">
        <v>0</v>
      </c>
      <c r="M169" s="44">
        <f t="shared" si="107"/>
        <v>45000000</v>
      </c>
      <c r="N169" s="113">
        <v>0</v>
      </c>
      <c r="O169" s="44">
        <v>0</v>
      </c>
      <c r="P169" s="27">
        <f t="shared" si="105"/>
        <v>45000000</v>
      </c>
      <c r="Q169" s="58">
        <v>0</v>
      </c>
      <c r="R169" s="25">
        <f t="shared" si="78"/>
        <v>0</v>
      </c>
      <c r="S169" s="58"/>
      <c r="T169" s="59"/>
    </row>
    <row r="170" spans="1:20" ht="47.25" customHeight="1" x14ac:dyDescent="0.25">
      <c r="A170" s="95" t="s">
        <v>18</v>
      </c>
      <c r="B170" s="98" t="s">
        <v>96</v>
      </c>
      <c r="C170" s="98" t="s">
        <v>90</v>
      </c>
      <c r="D170" s="98">
        <v>17</v>
      </c>
      <c r="E170" s="98"/>
      <c r="F170" s="98"/>
      <c r="G170" s="12" t="s">
        <v>203</v>
      </c>
      <c r="H170" s="98" t="s">
        <v>5</v>
      </c>
      <c r="I170" s="99">
        <v>10</v>
      </c>
      <c r="J170" s="100">
        <f>J171</f>
        <v>77674866</v>
      </c>
      <c r="K170" s="48">
        <f t="shared" ref="K170:T170" si="112">K171</f>
        <v>0</v>
      </c>
      <c r="L170" s="48">
        <f t="shared" si="112"/>
        <v>0</v>
      </c>
      <c r="M170" s="48">
        <f t="shared" si="112"/>
        <v>77674866</v>
      </c>
      <c r="N170" s="48">
        <f t="shared" si="112"/>
        <v>0</v>
      </c>
      <c r="O170" s="48">
        <f>O171</f>
        <v>77674863</v>
      </c>
      <c r="P170" s="24">
        <f t="shared" si="112"/>
        <v>3</v>
      </c>
      <c r="Q170" s="100">
        <f t="shared" si="112"/>
        <v>77674863</v>
      </c>
      <c r="R170" s="26">
        <f t="shared" si="78"/>
        <v>0.99999996137746794</v>
      </c>
      <c r="S170" s="100">
        <f t="shared" si="112"/>
        <v>69907377</v>
      </c>
      <c r="T170" s="101">
        <f t="shared" si="112"/>
        <v>69907377</v>
      </c>
    </row>
    <row r="171" spans="1:20" ht="32.25" customHeight="1" x14ac:dyDescent="0.25">
      <c r="A171" s="94" t="s">
        <v>18</v>
      </c>
      <c r="B171" s="56" t="s">
        <v>96</v>
      </c>
      <c r="C171" s="56" t="s">
        <v>90</v>
      </c>
      <c r="D171" s="56">
        <v>17</v>
      </c>
      <c r="E171" s="56" t="s">
        <v>219</v>
      </c>
      <c r="F171" s="56">
        <v>2999064</v>
      </c>
      <c r="G171" s="23" t="s">
        <v>222</v>
      </c>
      <c r="H171" s="56" t="s">
        <v>5</v>
      </c>
      <c r="I171" s="57">
        <v>10</v>
      </c>
      <c r="J171" s="58">
        <v>77674866</v>
      </c>
      <c r="K171" s="44"/>
      <c r="L171" s="44">
        <v>0</v>
      </c>
      <c r="M171" s="44">
        <f t="shared" si="107"/>
        <v>77674866</v>
      </c>
      <c r="N171" s="44">
        <v>0</v>
      </c>
      <c r="O171" s="44">
        <v>77674863</v>
      </c>
      <c r="P171" s="27">
        <f>+M171-O171-N171</f>
        <v>3</v>
      </c>
      <c r="Q171" s="58">
        <v>77674863</v>
      </c>
      <c r="R171" s="25">
        <f t="shared" si="78"/>
        <v>0.99999996137746794</v>
      </c>
      <c r="S171" s="58">
        <v>69907377</v>
      </c>
      <c r="T171" s="59">
        <v>69907377</v>
      </c>
    </row>
    <row r="172" spans="1:20" s="102" customFormat="1" ht="32.25" customHeight="1" x14ac:dyDescent="0.25">
      <c r="A172" s="95" t="s">
        <v>18</v>
      </c>
      <c r="B172" s="98" t="s">
        <v>96</v>
      </c>
      <c r="C172" s="98" t="s">
        <v>90</v>
      </c>
      <c r="D172" s="98" t="s">
        <v>97</v>
      </c>
      <c r="E172" s="98"/>
      <c r="F172" s="98"/>
      <c r="G172" s="12" t="s">
        <v>204</v>
      </c>
      <c r="H172" s="98" t="s">
        <v>5</v>
      </c>
      <c r="I172" s="99">
        <v>10</v>
      </c>
      <c r="J172" s="100">
        <f>J173</f>
        <v>837000000</v>
      </c>
      <c r="K172" s="48">
        <f t="shared" ref="K172:T172" si="113">K173</f>
        <v>0</v>
      </c>
      <c r="L172" s="48">
        <f t="shared" si="113"/>
        <v>0</v>
      </c>
      <c r="M172" s="48">
        <f t="shared" si="113"/>
        <v>837000000</v>
      </c>
      <c r="N172" s="48">
        <f t="shared" si="113"/>
        <v>0</v>
      </c>
      <c r="O172" s="48">
        <f t="shared" si="113"/>
        <v>836768065</v>
      </c>
      <c r="P172" s="24">
        <f t="shared" si="113"/>
        <v>231935</v>
      </c>
      <c r="Q172" s="100">
        <f t="shared" si="113"/>
        <v>836768065</v>
      </c>
      <c r="R172" s="26">
        <f t="shared" si="78"/>
        <v>0.99972289725209085</v>
      </c>
      <c r="S172" s="100">
        <f t="shared" si="113"/>
        <v>420135071.99000001</v>
      </c>
      <c r="T172" s="101">
        <f t="shared" si="113"/>
        <v>340686224.57999998</v>
      </c>
    </row>
    <row r="173" spans="1:20" ht="44.25" customHeight="1" x14ac:dyDescent="0.25">
      <c r="A173" s="94" t="s">
        <v>18</v>
      </c>
      <c r="B173" s="56" t="s">
        <v>96</v>
      </c>
      <c r="C173" s="56" t="s">
        <v>90</v>
      </c>
      <c r="D173" s="56" t="s">
        <v>97</v>
      </c>
      <c r="E173" s="56" t="s">
        <v>219</v>
      </c>
      <c r="F173" s="56" t="s">
        <v>165</v>
      </c>
      <c r="G173" s="23" t="s">
        <v>191</v>
      </c>
      <c r="H173" s="56" t="s">
        <v>5</v>
      </c>
      <c r="I173" s="57">
        <v>10</v>
      </c>
      <c r="J173" s="58">
        <v>837000000</v>
      </c>
      <c r="K173" s="44">
        <v>0</v>
      </c>
      <c r="L173" s="44">
        <v>0</v>
      </c>
      <c r="M173" s="44">
        <f t="shared" si="107"/>
        <v>837000000</v>
      </c>
      <c r="N173" s="113"/>
      <c r="O173" s="44">
        <v>836768065</v>
      </c>
      <c r="P173" s="27">
        <f t="shared" si="105"/>
        <v>231935</v>
      </c>
      <c r="Q173" s="58">
        <v>836768065</v>
      </c>
      <c r="R173" s="25">
        <f t="shared" si="78"/>
        <v>0.99972289725209085</v>
      </c>
      <c r="S173" s="58">
        <v>420135071.99000001</v>
      </c>
      <c r="T173" s="59">
        <v>340686224.57999998</v>
      </c>
    </row>
    <row r="174" spans="1:20" ht="42" customHeight="1" x14ac:dyDescent="0.25">
      <c r="A174" s="95" t="s">
        <v>18</v>
      </c>
      <c r="B174" s="98" t="s">
        <v>96</v>
      </c>
      <c r="C174" s="11" t="s">
        <v>90</v>
      </c>
      <c r="D174" s="11" t="s">
        <v>98</v>
      </c>
      <c r="E174" s="11"/>
      <c r="F174" s="11"/>
      <c r="G174" s="12" t="s">
        <v>205</v>
      </c>
      <c r="H174" s="11" t="s">
        <v>5</v>
      </c>
      <c r="I174" s="13">
        <v>10</v>
      </c>
      <c r="J174" s="14">
        <f>J175+J176</f>
        <v>546400000</v>
      </c>
      <c r="K174" s="24">
        <f>K175+K176</f>
        <v>0</v>
      </c>
      <c r="L174" s="116">
        <f>L175+L176</f>
        <v>0</v>
      </c>
      <c r="M174" s="48">
        <f>M175+M176</f>
        <v>546400000</v>
      </c>
      <c r="N174" s="24">
        <f t="shared" ref="N174:T174" si="114">N175+N176</f>
        <v>0</v>
      </c>
      <c r="O174" s="24">
        <f t="shared" si="114"/>
        <v>542905955</v>
      </c>
      <c r="P174" s="24">
        <f>P175+P176</f>
        <v>3494045</v>
      </c>
      <c r="Q174" s="14">
        <f t="shared" si="114"/>
        <v>476510715</v>
      </c>
      <c r="R174" s="26">
        <f t="shared" si="78"/>
        <v>0.87209135248901903</v>
      </c>
      <c r="S174" s="14">
        <f t="shared" si="114"/>
        <v>230416678</v>
      </c>
      <c r="T174" s="22">
        <f t="shared" si="114"/>
        <v>211716678</v>
      </c>
    </row>
    <row r="175" spans="1:20" ht="39" customHeight="1" x14ac:dyDescent="0.25">
      <c r="A175" s="94" t="s">
        <v>18</v>
      </c>
      <c r="B175" s="56" t="s">
        <v>96</v>
      </c>
      <c r="C175" s="7" t="s">
        <v>90</v>
      </c>
      <c r="D175" s="7" t="s">
        <v>98</v>
      </c>
      <c r="E175" s="7" t="s">
        <v>219</v>
      </c>
      <c r="F175" s="7" t="s">
        <v>166</v>
      </c>
      <c r="G175" s="23" t="s">
        <v>192</v>
      </c>
      <c r="H175" s="7" t="s">
        <v>5</v>
      </c>
      <c r="I175" s="8">
        <v>10</v>
      </c>
      <c r="J175" s="9">
        <v>154665897</v>
      </c>
      <c r="K175" s="27"/>
      <c r="L175" s="27"/>
      <c r="M175" s="44">
        <f t="shared" si="107"/>
        <v>154665897</v>
      </c>
      <c r="N175" s="27">
        <v>0</v>
      </c>
      <c r="O175" s="27">
        <v>154535149</v>
      </c>
      <c r="P175" s="27">
        <f>+M175-O175-N175</f>
        <v>130748</v>
      </c>
      <c r="Q175" s="9">
        <v>143201381</v>
      </c>
      <c r="R175" s="25">
        <f t="shared" si="78"/>
        <v>0.92587560527321677</v>
      </c>
      <c r="S175" s="9">
        <v>86168555</v>
      </c>
      <c r="T175" s="10">
        <v>86168555</v>
      </c>
    </row>
    <row r="176" spans="1:20" ht="39" customHeight="1" x14ac:dyDescent="0.25">
      <c r="A176" s="94" t="s">
        <v>18</v>
      </c>
      <c r="B176" s="56" t="s">
        <v>96</v>
      </c>
      <c r="C176" s="7" t="s">
        <v>90</v>
      </c>
      <c r="D176" s="7" t="s">
        <v>98</v>
      </c>
      <c r="E176" s="7" t="s">
        <v>219</v>
      </c>
      <c r="F176" s="7" t="s">
        <v>165</v>
      </c>
      <c r="G176" s="23" t="s">
        <v>193</v>
      </c>
      <c r="H176" s="7" t="s">
        <v>5</v>
      </c>
      <c r="I176" s="8">
        <v>10</v>
      </c>
      <c r="J176" s="9">
        <v>391734103</v>
      </c>
      <c r="K176" s="27"/>
      <c r="L176" s="27"/>
      <c r="M176" s="44">
        <f t="shared" si="107"/>
        <v>391734103</v>
      </c>
      <c r="N176" s="27">
        <v>0</v>
      </c>
      <c r="O176" s="27">
        <v>388370806</v>
      </c>
      <c r="P176" s="27">
        <f>+M176-O176-N176</f>
        <v>3363297</v>
      </c>
      <c r="Q176" s="9">
        <v>333309334</v>
      </c>
      <c r="R176" s="25">
        <f t="shared" si="78"/>
        <v>0.85085605630817396</v>
      </c>
      <c r="S176" s="9">
        <v>144248123</v>
      </c>
      <c r="T176" s="10">
        <v>125548123</v>
      </c>
    </row>
    <row r="177" spans="1:20" ht="39" customHeight="1" x14ac:dyDescent="0.25">
      <c r="A177" s="95" t="s">
        <v>18</v>
      </c>
      <c r="B177" s="11" t="s">
        <v>96</v>
      </c>
      <c r="C177" s="11" t="s">
        <v>90</v>
      </c>
      <c r="D177" s="11">
        <v>25</v>
      </c>
      <c r="E177" s="11"/>
      <c r="F177" s="11"/>
      <c r="G177" s="12" t="s">
        <v>223</v>
      </c>
      <c r="H177" s="11" t="s">
        <v>5</v>
      </c>
      <c r="I177" s="13">
        <v>10</v>
      </c>
      <c r="J177" s="14">
        <f>J180+J178+J179</f>
        <v>21873104901</v>
      </c>
      <c r="K177" s="24">
        <f>K180+K178+K179</f>
        <v>0</v>
      </c>
      <c r="L177" s="24">
        <f>L180+L178+L179</f>
        <v>0</v>
      </c>
      <c r="M177" s="48">
        <f>M180+M178+M179</f>
        <v>21873104901</v>
      </c>
      <c r="N177" s="24">
        <f t="shared" ref="N177" si="115">N180</f>
        <v>0</v>
      </c>
      <c r="O177" s="24">
        <f t="shared" ref="O177" si="116">O180+O178+O179</f>
        <v>18120007390.5</v>
      </c>
      <c r="P177" s="24">
        <f t="shared" ref="P177" si="117">P180+P178+P179</f>
        <v>3753097510.5</v>
      </c>
      <c r="Q177" s="14">
        <f>Q180+Q178+Q179</f>
        <v>16466518694.5</v>
      </c>
      <c r="R177" s="26">
        <f t="shared" si="78"/>
        <v>0.7528203594793339</v>
      </c>
      <c r="S177" s="14">
        <f t="shared" ref="S177" si="118">S180+S178+S179</f>
        <v>142401817.77000001</v>
      </c>
      <c r="T177" s="22">
        <f t="shared" ref="T177" si="119">T180+T178+T179</f>
        <v>110101817.77000001</v>
      </c>
    </row>
    <row r="178" spans="1:20" ht="39" customHeight="1" x14ac:dyDescent="0.25">
      <c r="A178" s="94" t="s">
        <v>18</v>
      </c>
      <c r="B178" s="7" t="s">
        <v>96</v>
      </c>
      <c r="C178" s="7" t="s">
        <v>90</v>
      </c>
      <c r="D178" s="7">
        <v>25</v>
      </c>
      <c r="E178" s="7" t="s">
        <v>219</v>
      </c>
      <c r="F178" s="7">
        <v>2999011</v>
      </c>
      <c r="G178" s="23" t="s">
        <v>224</v>
      </c>
      <c r="H178" s="7" t="s">
        <v>5</v>
      </c>
      <c r="I178" s="8">
        <v>10</v>
      </c>
      <c r="J178" s="9">
        <v>3555000000</v>
      </c>
      <c r="K178" s="24"/>
      <c r="L178" s="24"/>
      <c r="M178" s="44">
        <f t="shared" si="107"/>
        <v>3555000000</v>
      </c>
      <c r="N178" s="27"/>
      <c r="O178" s="27">
        <v>3069837032.3499999</v>
      </c>
      <c r="P178" s="27">
        <f>+M178-O178-N178</f>
        <v>485162967.6500001</v>
      </c>
      <c r="Q178" s="9">
        <v>1933134456.3499999</v>
      </c>
      <c r="R178" s="26">
        <f t="shared" si="78"/>
        <v>0.5437790313220815</v>
      </c>
      <c r="S178" s="9">
        <v>135375925.62</v>
      </c>
      <c r="T178" s="10">
        <v>103075925.62</v>
      </c>
    </row>
    <row r="179" spans="1:20" ht="39" customHeight="1" x14ac:dyDescent="0.25">
      <c r="A179" s="94" t="s">
        <v>18</v>
      </c>
      <c r="B179" s="7" t="s">
        <v>96</v>
      </c>
      <c r="C179" s="7" t="s">
        <v>90</v>
      </c>
      <c r="D179" s="7">
        <v>25</v>
      </c>
      <c r="E179" s="7" t="s">
        <v>219</v>
      </c>
      <c r="F179" s="7">
        <v>2999014</v>
      </c>
      <c r="G179" s="23" t="s">
        <v>225</v>
      </c>
      <c r="H179" s="7" t="s">
        <v>5</v>
      </c>
      <c r="I179" s="8">
        <v>10</v>
      </c>
      <c r="J179" s="9">
        <v>2980845467</v>
      </c>
      <c r="K179" s="24"/>
      <c r="L179" s="24"/>
      <c r="M179" s="44">
        <f t="shared" si="107"/>
        <v>2980845467</v>
      </c>
      <c r="N179" s="27"/>
      <c r="O179" s="27">
        <v>5543187.1500000004</v>
      </c>
      <c r="P179" s="27">
        <f t="shared" ref="P179:P180" si="120">+M179-O179-N179</f>
        <v>2975302279.8499999</v>
      </c>
      <c r="Q179" s="9">
        <v>5543187.1500000004</v>
      </c>
      <c r="R179" s="26">
        <f t="shared" si="78"/>
        <v>1.8596023213436849E-3</v>
      </c>
      <c r="S179" s="9">
        <v>5543187.1500000004</v>
      </c>
      <c r="T179" s="10">
        <v>5543187.1500000004</v>
      </c>
    </row>
    <row r="180" spans="1:20" ht="32.25" customHeight="1" x14ac:dyDescent="0.25">
      <c r="A180" s="94" t="s">
        <v>18</v>
      </c>
      <c r="B180" s="7" t="s">
        <v>96</v>
      </c>
      <c r="C180" s="7" t="s">
        <v>90</v>
      </c>
      <c r="D180" s="7">
        <v>25</v>
      </c>
      <c r="E180" s="7" t="s">
        <v>219</v>
      </c>
      <c r="F180" s="7">
        <v>2999054</v>
      </c>
      <c r="G180" s="23" t="s">
        <v>226</v>
      </c>
      <c r="H180" s="7" t="s">
        <v>5</v>
      </c>
      <c r="I180" s="8">
        <v>10</v>
      </c>
      <c r="J180" s="9">
        <v>15337259434</v>
      </c>
      <c r="K180" s="27">
        <v>0</v>
      </c>
      <c r="L180" s="27"/>
      <c r="M180" s="44">
        <f t="shared" si="107"/>
        <v>15337259434</v>
      </c>
      <c r="N180" s="27">
        <v>0</v>
      </c>
      <c r="O180" s="27">
        <v>15044627171</v>
      </c>
      <c r="P180" s="27">
        <f t="shared" si="120"/>
        <v>292632263</v>
      </c>
      <c r="Q180" s="9">
        <v>14527841051</v>
      </c>
      <c r="R180" s="25">
        <f t="shared" si="78"/>
        <v>0.94722535753645387</v>
      </c>
      <c r="S180" s="9">
        <v>1482705</v>
      </c>
      <c r="T180" s="10">
        <v>1482705</v>
      </c>
    </row>
    <row r="181" spans="1:20" ht="16.5" customHeight="1" x14ac:dyDescent="0.25">
      <c r="A181" s="81" t="s">
        <v>18</v>
      </c>
      <c r="B181" s="81"/>
      <c r="C181" s="81"/>
      <c r="D181" s="81"/>
      <c r="E181" s="81"/>
      <c r="F181" s="81"/>
      <c r="G181" s="82" t="s">
        <v>19</v>
      </c>
      <c r="H181" s="81" t="s">
        <v>5</v>
      </c>
      <c r="I181" s="83">
        <v>10</v>
      </c>
      <c r="J181" s="64">
        <f t="shared" ref="J181:P181" si="121">J126+J158</f>
        <v>112961000000</v>
      </c>
      <c r="K181" s="64">
        <f t="shared" si="121"/>
        <v>90241646</v>
      </c>
      <c r="L181" s="64">
        <f t="shared" si="121"/>
        <v>90241646</v>
      </c>
      <c r="M181" s="64">
        <f t="shared" si="121"/>
        <v>112961000000</v>
      </c>
      <c r="N181" s="3">
        <f t="shared" si="121"/>
        <v>0</v>
      </c>
      <c r="O181" s="64">
        <f>O126+O158</f>
        <v>105309624877.51999</v>
      </c>
      <c r="P181" s="64">
        <f t="shared" si="121"/>
        <v>7651375122.4799986</v>
      </c>
      <c r="Q181" s="64">
        <f>Q126+Q158</f>
        <v>93295782879.690002</v>
      </c>
      <c r="R181" s="76">
        <f t="shared" si="78"/>
        <v>0.82591144624861679</v>
      </c>
      <c r="S181" s="64">
        <f>S126+S158</f>
        <v>33103610705.43</v>
      </c>
      <c r="T181" s="73">
        <f>T126+T158</f>
        <v>32835035145.020004</v>
      </c>
    </row>
    <row r="182" spans="1:20" ht="15" customHeight="1" x14ac:dyDescent="0.25">
      <c r="A182" s="81" t="s">
        <v>18</v>
      </c>
      <c r="B182" s="81"/>
      <c r="C182" s="81"/>
      <c r="D182" s="81"/>
      <c r="E182" s="81"/>
      <c r="F182" s="81"/>
      <c r="G182" s="82" t="s">
        <v>19</v>
      </c>
      <c r="H182" s="81" t="s">
        <v>8</v>
      </c>
      <c r="I182" s="83">
        <v>21</v>
      </c>
      <c r="J182" s="64">
        <f>J127</f>
        <v>1194647000</v>
      </c>
      <c r="K182" s="64">
        <f>K127</f>
        <v>0</v>
      </c>
      <c r="L182" s="64">
        <f>L127</f>
        <v>0</v>
      </c>
      <c r="M182" s="64">
        <f>M127</f>
        <v>1194647000</v>
      </c>
      <c r="N182" s="3">
        <v>0</v>
      </c>
      <c r="O182" s="64">
        <f>O127</f>
        <v>1194647000</v>
      </c>
      <c r="P182" s="64">
        <f>P127</f>
        <v>0</v>
      </c>
      <c r="Q182" s="64">
        <f>Q127</f>
        <v>1194647000</v>
      </c>
      <c r="R182" s="76">
        <f t="shared" si="78"/>
        <v>1</v>
      </c>
      <c r="S182" s="64">
        <f>S127</f>
        <v>363150</v>
      </c>
      <c r="T182" s="73">
        <f>T127</f>
        <v>363150</v>
      </c>
    </row>
    <row r="183" spans="1:20" s="5" customFormat="1" ht="13.5" customHeight="1" thickBot="1" x14ac:dyDescent="0.25">
      <c r="A183" s="133" t="s">
        <v>29</v>
      </c>
      <c r="B183" s="134"/>
      <c r="C183" s="134"/>
      <c r="D183" s="134"/>
      <c r="E183" s="134"/>
      <c r="F183" s="134"/>
      <c r="G183" s="134"/>
      <c r="H183" s="134"/>
      <c r="I183" s="135"/>
      <c r="J183" s="40">
        <f t="shared" ref="J183:P183" si="122">SUM(J181:J182)</f>
        <v>114155647000</v>
      </c>
      <c r="K183" s="40">
        <f t="shared" si="122"/>
        <v>90241646</v>
      </c>
      <c r="L183" s="40">
        <f t="shared" si="122"/>
        <v>90241646</v>
      </c>
      <c r="M183" s="40">
        <f t="shared" si="122"/>
        <v>114155647000</v>
      </c>
      <c r="N183" s="40">
        <f t="shared" si="122"/>
        <v>0</v>
      </c>
      <c r="O183" s="40">
        <f>SUM(O181:O182)</f>
        <v>106504271877.51999</v>
      </c>
      <c r="P183" s="40">
        <f t="shared" si="122"/>
        <v>7651375122.4799986</v>
      </c>
      <c r="Q183" s="40">
        <f>SUM(Q181:Q182)</f>
        <v>94490429879.690002</v>
      </c>
      <c r="R183" s="42">
        <f t="shared" si="78"/>
        <v>0.82773329539878127</v>
      </c>
      <c r="S183" s="40">
        <f>SUM(S181:S182)</f>
        <v>33103973855.43</v>
      </c>
      <c r="T183" s="53">
        <f>SUM(T181:T182)</f>
        <v>32835398295.020004</v>
      </c>
    </row>
    <row r="184" spans="1:20" s="15" customFormat="1" ht="11.25" customHeight="1" thickBot="1" x14ac:dyDescent="0.3">
      <c r="A184" s="133" t="s">
        <v>30</v>
      </c>
      <c r="B184" s="134"/>
      <c r="C184" s="134"/>
      <c r="D184" s="134"/>
      <c r="E184" s="134"/>
      <c r="F184" s="134"/>
      <c r="G184" s="134"/>
      <c r="H184" s="134"/>
      <c r="I184" s="134"/>
      <c r="J184" s="80">
        <f>+J183+J124</f>
        <v>503698560000</v>
      </c>
      <c r="K184" s="80">
        <f t="shared" ref="K184:N184" si="123">+K183+K124</f>
        <v>22594785814.760002</v>
      </c>
      <c r="L184" s="80">
        <f t="shared" si="123"/>
        <v>15444785814.76</v>
      </c>
      <c r="M184" s="80">
        <f t="shared" si="123"/>
        <v>510848560000</v>
      </c>
      <c r="N184" s="79">
        <f t="shared" si="123"/>
        <v>24894700000</v>
      </c>
      <c r="O184" s="40">
        <f>+O183+O124</f>
        <v>391127912318.27002</v>
      </c>
      <c r="P184" s="40">
        <f>+P183+P124</f>
        <v>94825947681.729996</v>
      </c>
      <c r="Q184" s="40">
        <f>+Q183+Q124</f>
        <v>371038540631.44</v>
      </c>
      <c r="R184" s="42">
        <f t="shared" si="78"/>
        <v>0.72631807091996115</v>
      </c>
      <c r="S184" s="40">
        <f>+S183+S124</f>
        <v>294277451468.23999</v>
      </c>
      <c r="T184" s="53">
        <f>+T183+T124</f>
        <v>293494282727.38</v>
      </c>
    </row>
    <row r="185" spans="1:20" s="15" customFormat="1" ht="6.75" customHeight="1" x14ac:dyDescent="0.25">
      <c r="A185" s="109"/>
      <c r="B185" s="109"/>
      <c r="C185" s="109"/>
      <c r="D185" s="109"/>
      <c r="E185" s="109"/>
      <c r="F185" s="109"/>
      <c r="G185" s="109"/>
      <c r="H185" s="109"/>
      <c r="I185" s="109"/>
      <c r="J185" s="104"/>
      <c r="K185" s="104"/>
      <c r="L185" s="104"/>
      <c r="M185" s="104"/>
      <c r="N185" s="104"/>
      <c r="O185" s="104"/>
      <c r="P185" s="104"/>
      <c r="Q185" s="104"/>
      <c r="R185" s="110"/>
      <c r="S185" s="104"/>
      <c r="T185" s="104"/>
    </row>
    <row r="186" spans="1:20" s="15" customFormat="1" ht="9" customHeight="1" x14ac:dyDescent="0.25">
      <c r="A186" s="15" t="s">
        <v>32</v>
      </c>
      <c r="E186" s="16"/>
      <c r="F186" s="17"/>
      <c r="G186" s="18"/>
      <c r="H186" s="19"/>
      <c r="I186" s="20"/>
      <c r="J186" s="20"/>
      <c r="K186" s="20"/>
      <c r="L186" s="20"/>
      <c r="M186" s="104">
        <f>M184-[2]REP_EPG034_EjecucionPresupuesta!$S$36</f>
        <v>0</v>
      </c>
      <c r="N186" s="60"/>
      <c r="O186" s="45"/>
      <c r="P186" s="21"/>
      <c r="Q186" s="30"/>
      <c r="R186" s="21"/>
      <c r="S186" s="66"/>
      <c r="T186" s="66"/>
    </row>
    <row r="187" spans="1:20" s="15" customFormat="1" ht="9" customHeight="1" x14ac:dyDescent="0.25">
      <c r="A187" s="15" t="s">
        <v>214</v>
      </c>
      <c r="E187" s="16"/>
      <c r="F187" s="17"/>
      <c r="G187" s="18"/>
      <c r="H187" s="19"/>
      <c r="I187" s="20"/>
      <c r="J187" s="20"/>
      <c r="K187" s="20"/>
      <c r="L187" s="20"/>
      <c r="M187" s="66"/>
      <c r="N187" s="66"/>
      <c r="O187" s="28"/>
      <c r="P187" s="21">
        <f>N29</f>
        <v>0</v>
      </c>
      <c r="Q187" s="31"/>
      <c r="R187" s="21"/>
    </row>
    <row r="188" spans="1:20" s="15" customFormat="1" ht="9" customHeight="1" x14ac:dyDescent="0.25">
      <c r="A188" s="15" t="s">
        <v>213</v>
      </c>
      <c r="E188" s="16"/>
      <c r="F188" s="17"/>
      <c r="G188" s="18"/>
      <c r="H188" s="19"/>
      <c r="I188" s="20"/>
      <c r="J188" s="20"/>
      <c r="K188" s="20"/>
      <c r="L188" s="111"/>
      <c r="M188" s="66"/>
      <c r="N188" s="21"/>
      <c r="O188" s="67"/>
      <c r="P188" s="21"/>
      <c r="Q188" s="31"/>
      <c r="R188" s="21"/>
    </row>
    <row r="189" spans="1:20" x14ac:dyDescent="0.25">
      <c r="A189" s="15" t="s">
        <v>237</v>
      </c>
      <c r="B189" s="15"/>
      <c r="C189" s="15"/>
      <c r="D189" s="15"/>
      <c r="E189" s="16"/>
      <c r="F189" s="17"/>
      <c r="G189" s="18"/>
      <c r="H189" s="19"/>
      <c r="I189" s="20"/>
      <c r="J189" s="20"/>
      <c r="K189" s="20"/>
      <c r="L189" s="20"/>
      <c r="M189" s="15"/>
      <c r="N189" s="66"/>
      <c r="O189" s="28"/>
      <c r="P189" s="21"/>
      <c r="Q189" s="31"/>
      <c r="R189" s="21"/>
      <c r="S189" s="15"/>
      <c r="T189" s="15"/>
    </row>
    <row r="190" spans="1:20" x14ac:dyDescent="0.25">
      <c r="L190" s="112"/>
    </row>
    <row r="192" spans="1:20" x14ac:dyDescent="0.25">
      <c r="O192" s="120"/>
      <c r="Q192" s="121"/>
    </row>
  </sheetData>
  <mergeCells count="13">
    <mergeCell ref="A2:T2"/>
    <mergeCell ref="A1:F1"/>
    <mergeCell ref="A125:T125"/>
    <mergeCell ref="A183:I183"/>
    <mergeCell ref="A184:I184"/>
    <mergeCell ref="A34:I34"/>
    <mergeCell ref="A35:T35"/>
    <mergeCell ref="A91:I91"/>
    <mergeCell ref="A92:T92"/>
    <mergeCell ref="A119:I119"/>
    <mergeCell ref="A124:I124"/>
    <mergeCell ref="A105:T105"/>
    <mergeCell ref="A104:I104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OCTUBRE-31-2025
&amp;R
Página &amp;P de &amp;N</oddHeader>
  </headerFooter>
  <ignoredErrors>
    <ignoredError sqref="N53:N58 N23:N31 F117 H117:I117 C33:I33 Q33 G23:I26 H27:I27 G28:I31 H53:I54 H56:I58 C18:D18 C19:E26 C3:E4 I4 C46:I47 C101:F101 C36 C5:F17 C27:F32 M89:O89 N97:Q97 P116 N116 N108:O108 C102 Q108 S90:T91 S95:T98 S104:T104 B116:E118 B95:B103 F102 H102 B93:I94 C103:I103 N104:O104 N33:O34 S33:T34 F116:I116 C96:I97 C88:I90 B166:D167 N90:Q90 B158:E158 F161 F163:F164 F166:F167 F175:F176 B153:C153 B159:D164 B165:L165 N165 C87:F87 B87:B90 B46:B48 C48:F48 B172:L172 B168:C171 L171 N96 Q95:Q96 N98:O98 Q98 Q104 C37:F43 B173:D176 B3:B33 B154:D157 F154:F157 E168:F168 H168:I169 K169 H170:L170 E170:F170 H171:I171 F173:I173 K173 C95:F95 H95:I95 C99:I100 C98:F98 H98:I98 B177:C180 B144:D144 I87 B36:B43 B45:F45 I59:I85 B49:F86 O91:Q91 B106:I110 B111:C112 T108 B113:H113 B44:F44 I111:I112 B114:D115" numberStoredAsText="1"/>
    <ignoredError sqref="M18 P18 M26 M98 M153:P153 M174:P174 M177:N177 P129 A120:I120 G129:I129 G131:I131 A145:A152 E128:L128 E132:F132 E136:L136 G145:I145 G148:I148 A125:T125 A122:Q123 S121:T123 M129:N129 H132:L132 E140:I140 H150:I150 P148 G133:I135 M132:N134 G151:I152 L141:N141 G141:I143 M142:N143 P150:P152 A127:F127 H127:I127 P131:P135 P138:P139 P141:P143 M160:N160 P108 N128:O128 Q128 G146:H147 N146:N147 M131 E137:O137 A121:O121 Q121 A126:I126 G138:I139 M148:N148 N120:O120 M150:M152 N136:O136 P165 K129 K131 K133 L135:N135 K138:N139 K142:K143 K146 K148 K150 K152 A128:A143 J159:L159 S159:T159 A124:J124 T124 P160:P162 P177 P171 M168 P168 P130:Q130 H149:T149 S128:T128 K140:T140 S130:T130 R18 R3:R4 R26 R33:R34 R36 R46:R48 R126:R128 R130:R132 R144:R145 R153 R158:R162 R165:R168 R170:R179 R181:R184 Q136:T137 R93:R104 E130:N130 R88:R91 P26 L47 R106:R111 M101 P101 L124:P124 R116:R124 M162:N162 M111:M112 R113:R114 M159:Q159 N161 N91 P111 P95 N46" formula="1"/>
    <ignoredError sqref="M173 M172:P172 M170:N171 M165 M169 B149:F149 B145:F145 P173 F129 F131 F133:F135 B140:D143 F141:F143 B146:D148 F146:F148 B150:D152 B138:F139 B128:D137 F150:F152 P169:P170 N107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31-2025</vt:lpstr>
      <vt:lpstr>'OCTUBRE 31-2025'!Área_de_impresión</vt:lpstr>
      <vt:lpstr>'OCTUBRE 31-2025'!Títulos_a_imprimir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2025-05-05T13:25:00Z</cp:lastPrinted>
  <dcterms:created xsi:type="dcterms:W3CDTF">2016-02-01T15:56:25Z</dcterms:created>
  <dcterms:modified xsi:type="dcterms:W3CDTF">2025-11-11T22:08:18Z</dcterms:modified>
</cp:coreProperties>
</file>