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CesarAugustoAcuñaRey\OneDrive - medicinalegal.gov.co\DERECHO PETICION CONTRALORIA.zip (Unzipped Files)\Escritorio\CESAR EQUIPO OF MAYO 8\2025\Junio\"/>
    </mc:Choice>
  </mc:AlternateContent>
  <xr:revisionPtr revIDLastSave="0" documentId="8_{2752B72F-6D1A-4730-B823-7CA491B6E8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NIO-30-2025" sheetId="11" r:id="rId1"/>
  </sheets>
  <definedNames>
    <definedName name="_xlnm._FilterDatabase" localSheetId="0" hidden="1">'JUNIO-30-2025'!$A$3:$IY$184</definedName>
    <definedName name="_xlnm.Print_Area" localSheetId="0">'JUNIO-30-2025'!$A$1:$T$184</definedName>
    <definedName name="_xlnm.Print_Titles" localSheetId="0">'JUNIO-30-2025'!$1:$1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3" i="11" l="1"/>
  <c r="L80" i="11"/>
  <c r="K80" i="11" l="1"/>
  <c r="L65" i="11"/>
  <c r="L57" i="11"/>
  <c r="L53" i="11"/>
  <c r="K61" i="11"/>
  <c r="K65" i="11"/>
  <c r="K58" i="11"/>
  <c r="K77" i="11"/>
  <c r="T46" i="11"/>
  <c r="S46" i="11"/>
  <c r="Q46" i="11"/>
  <c r="O46" i="11"/>
  <c r="N46" i="11"/>
  <c r="L46" i="11"/>
  <c r="K46" i="11"/>
  <c r="J46" i="11"/>
  <c r="M84" i="11"/>
  <c r="P84" i="11" s="1"/>
  <c r="K76" i="11"/>
  <c r="L77" i="11"/>
  <c r="K81" i="11"/>
  <c r="K67" i="11"/>
  <c r="K38" i="11"/>
  <c r="K66" i="11"/>
  <c r="K57" i="11"/>
  <c r="K56" i="11"/>
  <c r="K55" i="11"/>
  <c r="K54" i="11"/>
  <c r="K44" i="11"/>
  <c r="K39" i="11"/>
  <c r="L38" i="11"/>
  <c r="L81" i="11"/>
  <c r="K64" i="11"/>
  <c r="K63" i="11"/>
  <c r="K62" i="11"/>
  <c r="L58" i="11"/>
  <c r="M58" i="11" s="1"/>
  <c r="L56" i="11"/>
  <c r="K41" i="11"/>
  <c r="K59" i="11"/>
  <c r="L55" i="11"/>
  <c r="K53" i="11"/>
  <c r="K51" i="11"/>
  <c r="M77" i="11" l="1"/>
  <c r="R84" i="11"/>
  <c r="T45" i="11"/>
  <c r="T47" i="11"/>
  <c r="L43" i="11"/>
  <c r="L63" i="11"/>
  <c r="L61" i="11"/>
  <c r="L44" i="11"/>
  <c r="K43" i="11"/>
  <c r="M53" i="11"/>
  <c r="P53" i="11" s="1"/>
  <c r="L51" i="11"/>
  <c r="L62" i="11"/>
  <c r="L71" i="11"/>
  <c r="K37" i="11"/>
  <c r="S45" i="11"/>
  <c r="Q45" i="11"/>
  <c r="O45" i="11"/>
  <c r="K60" i="11"/>
  <c r="N45" i="11"/>
  <c r="J45" i="11"/>
  <c r="R63" i="11"/>
  <c r="L82" i="11"/>
  <c r="K71" i="11"/>
  <c r="L54" i="11"/>
  <c r="L66" i="11"/>
  <c r="L59" i="11"/>
  <c r="K52" i="11"/>
  <c r="R48" i="11"/>
  <c r="M48" i="11"/>
  <c r="P48" i="11" s="1"/>
  <c r="O125" i="11"/>
  <c r="O47" i="11"/>
  <c r="M63" i="11" l="1"/>
  <c r="P63" i="11" s="1"/>
  <c r="R175" i="11"/>
  <c r="R174" i="11"/>
  <c r="R164" i="11"/>
  <c r="R159" i="11"/>
  <c r="R158" i="11"/>
  <c r="R152" i="11"/>
  <c r="R151" i="11"/>
  <c r="R147" i="11"/>
  <c r="R146" i="11"/>
  <c r="R145" i="11"/>
  <c r="R138" i="11"/>
  <c r="R137" i="11"/>
  <c r="R111" i="11"/>
  <c r="R100" i="11"/>
  <c r="R99" i="11"/>
  <c r="R93" i="11"/>
  <c r="R81" i="11"/>
  <c r="R62" i="11"/>
  <c r="R49" i="11"/>
  <c r="R44" i="11"/>
  <c r="P159" i="11"/>
  <c r="T127" i="11"/>
  <c r="S127" i="11"/>
  <c r="Q127" i="11"/>
  <c r="O127" i="11"/>
  <c r="O139" i="11" l="1"/>
  <c r="O140" i="11"/>
  <c r="M49" i="11"/>
  <c r="M50" i="11"/>
  <c r="M52" i="11"/>
  <c r="R52" i="11" s="1"/>
  <c r="M54" i="11"/>
  <c r="R54" i="11" s="1"/>
  <c r="M56" i="11"/>
  <c r="R56" i="11" s="1"/>
  <c r="M57" i="11"/>
  <c r="R57" i="11" s="1"/>
  <c r="R58" i="11"/>
  <c r="M59" i="11"/>
  <c r="R59" i="11" s="1"/>
  <c r="M60" i="11"/>
  <c r="R60" i="11" s="1"/>
  <c r="M61" i="11"/>
  <c r="R61" i="11" s="1"/>
  <c r="M62" i="11"/>
  <c r="P62" i="11" s="1"/>
  <c r="M64" i="11"/>
  <c r="R64" i="11" s="1"/>
  <c r="M66" i="11"/>
  <c r="M67" i="11"/>
  <c r="R67" i="11" s="1"/>
  <c r="M68" i="11"/>
  <c r="R68" i="11" s="1"/>
  <c r="M69" i="11"/>
  <c r="R69" i="11" s="1"/>
  <c r="M70" i="11"/>
  <c r="R70" i="11" s="1"/>
  <c r="M72" i="11"/>
  <c r="M73" i="11"/>
  <c r="M74" i="11"/>
  <c r="R74" i="11" s="1"/>
  <c r="M75" i="11"/>
  <c r="R75" i="11" s="1"/>
  <c r="M79" i="11"/>
  <c r="R79" i="11" s="1"/>
  <c r="M82" i="11"/>
  <c r="R82" i="11" s="1"/>
  <c r="M83" i="11"/>
  <c r="R83" i="11" s="1"/>
  <c r="M85" i="11"/>
  <c r="R85" i="11" s="1"/>
  <c r="M81" i="11"/>
  <c r="M80" i="11"/>
  <c r="M51" i="11"/>
  <c r="R51" i="11" s="1"/>
  <c r="M55" i="11"/>
  <c r="R55" i="11" s="1"/>
  <c r="R77" i="11"/>
  <c r="R53" i="11"/>
  <c r="M65" i="11"/>
  <c r="R65" i="11" s="1"/>
  <c r="T36" i="11"/>
  <c r="S36" i="11"/>
  <c r="Q36" i="11"/>
  <c r="O36" i="11"/>
  <c r="O86" i="11" s="1"/>
  <c r="N36" i="11"/>
  <c r="L36" i="11"/>
  <c r="J36" i="11"/>
  <c r="M44" i="11"/>
  <c r="K36" i="11"/>
  <c r="M71" i="11"/>
  <c r="R71" i="11" s="1"/>
  <c r="T163" i="11"/>
  <c r="S163" i="11"/>
  <c r="Q163" i="11"/>
  <c r="R163" i="11" s="1"/>
  <c r="O163" i="11"/>
  <c r="N163" i="11"/>
  <c r="L163" i="11"/>
  <c r="K163" i="11"/>
  <c r="J163" i="11"/>
  <c r="O165" i="11"/>
  <c r="O160" i="11"/>
  <c r="O157" i="11"/>
  <c r="O155" i="11"/>
  <c r="M76" i="11"/>
  <c r="R76" i="11" s="1"/>
  <c r="K78" i="11"/>
  <c r="M78" i="11" s="1"/>
  <c r="N92" i="11"/>
  <c r="N91" i="11" s="1"/>
  <c r="J135" i="11"/>
  <c r="M46" i="11" l="1"/>
  <c r="R72" i="11"/>
  <c r="P50" i="11"/>
  <c r="R50" i="11"/>
  <c r="M47" i="11"/>
  <c r="R73" i="11"/>
  <c r="R80" i="11"/>
  <c r="R66" i="11"/>
  <c r="P66" i="11"/>
  <c r="L45" i="11"/>
  <c r="K45" i="11"/>
  <c r="R78" i="11"/>
  <c r="M45" i="11"/>
  <c r="P44" i="11"/>
  <c r="J155" i="11"/>
  <c r="T139" i="11"/>
  <c r="S139" i="11"/>
  <c r="Q139" i="11"/>
  <c r="N139" i="11"/>
  <c r="L139" i="11"/>
  <c r="K139" i="11"/>
  <c r="J139" i="11"/>
  <c r="J106" i="11"/>
  <c r="T140" i="11"/>
  <c r="S140" i="11"/>
  <c r="Q140" i="11"/>
  <c r="N140" i="11"/>
  <c r="L140" i="11"/>
  <c r="K140" i="11"/>
  <c r="J140" i="11"/>
  <c r="T92" i="11"/>
  <c r="S92" i="11"/>
  <c r="Q92" i="11"/>
  <c r="R92" i="11" s="1"/>
  <c r="O92" i="11"/>
  <c r="L92" i="11"/>
  <c r="K92" i="11"/>
  <c r="J92" i="11"/>
  <c r="J91" i="11" s="1"/>
  <c r="J172" i="11"/>
  <c r="Q157" i="11"/>
  <c r="M174" i="11"/>
  <c r="P174" i="11" s="1"/>
  <c r="M173" i="11"/>
  <c r="T172" i="11"/>
  <c r="S172" i="11"/>
  <c r="Q172" i="11"/>
  <c r="O172" i="11"/>
  <c r="L169" i="11"/>
  <c r="K169" i="11"/>
  <c r="K172" i="11"/>
  <c r="L172" i="11"/>
  <c r="M111" i="11"/>
  <c r="M108" i="11"/>
  <c r="R108" i="11" s="1"/>
  <c r="M107" i="11"/>
  <c r="M124" i="11"/>
  <c r="L106" i="11"/>
  <c r="R45" i="11" l="1"/>
  <c r="P173" i="11"/>
  <c r="R173" i="11"/>
  <c r="M123" i="11"/>
  <c r="R124" i="11"/>
  <c r="P107" i="11"/>
  <c r="R107" i="11"/>
  <c r="M141" i="11"/>
  <c r="R141" i="11" s="1"/>
  <c r="M142" i="11"/>
  <c r="S125" i="11"/>
  <c r="T125" i="11"/>
  <c r="P142" i="11" l="1"/>
  <c r="R142" i="11"/>
  <c r="M139" i="11"/>
  <c r="R139" i="11" s="1"/>
  <c r="P141" i="11"/>
  <c r="P139" i="11" l="1"/>
  <c r="J99" i="11"/>
  <c r="J96" i="11"/>
  <c r="M40" i="11" l="1"/>
  <c r="P40" i="11" l="1"/>
  <c r="R40" i="11"/>
  <c r="P59" i="11"/>
  <c r="P67" i="11"/>
  <c r="P75" i="11" l="1"/>
  <c r="P76" i="11" l="1"/>
  <c r="Q86" i="11" l="1"/>
  <c r="M41" i="11"/>
  <c r="J95" i="11"/>
  <c r="J94" i="11" s="1"/>
  <c r="J101" i="11" s="1"/>
  <c r="J102" i="11" s="1"/>
  <c r="T26" i="11"/>
  <c r="T18" i="11"/>
  <c r="T4" i="11"/>
  <c r="P41" i="11" l="1"/>
  <c r="R41" i="11"/>
  <c r="K86" i="11"/>
  <c r="S86" i="11"/>
  <c r="T3" i="11"/>
  <c r="M5" i="11" l="1"/>
  <c r="R5" i="11" s="1"/>
  <c r="M6" i="11"/>
  <c r="R6" i="11" s="1"/>
  <c r="M7" i="11"/>
  <c r="R7" i="11" s="1"/>
  <c r="M8" i="11"/>
  <c r="R8" i="11" s="1"/>
  <c r="M9" i="11"/>
  <c r="R9" i="11" s="1"/>
  <c r="M10" i="11"/>
  <c r="R10" i="11" s="1"/>
  <c r="M11" i="11"/>
  <c r="R11" i="11" s="1"/>
  <c r="M12" i="11"/>
  <c r="R12" i="11" s="1"/>
  <c r="M13" i="11"/>
  <c r="R13" i="11" s="1"/>
  <c r="M14" i="11"/>
  <c r="R14" i="11" s="1"/>
  <c r="M15" i="11"/>
  <c r="R15" i="11" s="1"/>
  <c r="M16" i="11"/>
  <c r="R16" i="11" s="1"/>
  <c r="M17" i="11"/>
  <c r="R17" i="11" s="1"/>
  <c r="M19" i="11"/>
  <c r="R19" i="11" s="1"/>
  <c r="M20" i="11"/>
  <c r="R20" i="11" s="1"/>
  <c r="M21" i="11"/>
  <c r="R21" i="11" s="1"/>
  <c r="M22" i="11"/>
  <c r="R22" i="11" s="1"/>
  <c r="M23" i="11"/>
  <c r="R23" i="11" s="1"/>
  <c r="M24" i="11"/>
  <c r="R24" i="11" s="1"/>
  <c r="M25" i="11"/>
  <c r="R25" i="11" s="1"/>
  <c r="M27" i="11"/>
  <c r="M28" i="11"/>
  <c r="M29" i="11"/>
  <c r="M30" i="11"/>
  <c r="M31" i="11"/>
  <c r="M32" i="11"/>
  <c r="M37" i="11"/>
  <c r="M38" i="11"/>
  <c r="R38" i="11" s="1"/>
  <c r="M42" i="11"/>
  <c r="M43" i="11"/>
  <c r="R43" i="11" s="1"/>
  <c r="J127" i="11"/>
  <c r="J148" i="11"/>
  <c r="J144" i="11"/>
  <c r="N172" i="11"/>
  <c r="T169" i="11"/>
  <c r="S169" i="11"/>
  <c r="Q169" i="11"/>
  <c r="O169" i="11"/>
  <c r="N169" i="11"/>
  <c r="J169" i="11"/>
  <c r="T167" i="11"/>
  <c r="S167" i="11"/>
  <c r="Q167" i="11"/>
  <c r="O167" i="11"/>
  <c r="N167" i="11"/>
  <c r="L167" i="11"/>
  <c r="K167" i="11"/>
  <c r="J167" i="11"/>
  <c r="T165" i="11"/>
  <c r="S165" i="11"/>
  <c r="Q165" i="11"/>
  <c r="N165" i="11"/>
  <c r="L165" i="11"/>
  <c r="K165" i="11"/>
  <c r="J165" i="11"/>
  <c r="T160" i="11"/>
  <c r="S160" i="11"/>
  <c r="Q160" i="11"/>
  <c r="N160" i="11"/>
  <c r="L160" i="11"/>
  <c r="K160" i="11"/>
  <c r="J160" i="11"/>
  <c r="T157" i="11"/>
  <c r="S157" i="11"/>
  <c r="N157" i="11"/>
  <c r="L157" i="11"/>
  <c r="K157" i="11"/>
  <c r="J157" i="11"/>
  <c r="T155" i="11"/>
  <c r="S155" i="11"/>
  <c r="Q155" i="11"/>
  <c r="N155" i="11"/>
  <c r="L155" i="11"/>
  <c r="K155" i="11"/>
  <c r="T148" i="11"/>
  <c r="S148" i="11"/>
  <c r="Q148" i="11"/>
  <c r="O148" i="11"/>
  <c r="N148" i="11"/>
  <c r="L148" i="11"/>
  <c r="K148" i="11"/>
  <c r="K144" i="11"/>
  <c r="T144" i="11"/>
  <c r="S144" i="11"/>
  <c r="Q144" i="11"/>
  <c r="R144" i="11" s="1"/>
  <c r="O144" i="11"/>
  <c r="N144" i="11"/>
  <c r="L144" i="11"/>
  <c r="L135" i="11"/>
  <c r="K135" i="11"/>
  <c r="T135" i="11"/>
  <c r="S135" i="11"/>
  <c r="Q135" i="11"/>
  <c r="O135" i="11"/>
  <c r="N135" i="11"/>
  <c r="T132" i="11"/>
  <c r="T122" i="11" s="1"/>
  <c r="S132" i="11"/>
  <c r="S122" i="11" s="1"/>
  <c r="Q132" i="11"/>
  <c r="O132" i="11"/>
  <c r="O122" i="11" s="1"/>
  <c r="N132" i="11"/>
  <c r="N122" i="11" s="1"/>
  <c r="L132" i="11"/>
  <c r="L122" i="11" s="1"/>
  <c r="K132" i="11"/>
  <c r="K122" i="11" s="1"/>
  <c r="J132" i="11"/>
  <c r="J122" i="11" s="1"/>
  <c r="T131" i="11"/>
  <c r="S131" i="11"/>
  <c r="Q131" i="11"/>
  <c r="O131" i="11"/>
  <c r="N131" i="11"/>
  <c r="L131" i="11"/>
  <c r="K131" i="11"/>
  <c r="J131" i="11"/>
  <c r="N127" i="11"/>
  <c r="L127" i="11"/>
  <c r="K127" i="11"/>
  <c r="J125" i="11"/>
  <c r="T123" i="11"/>
  <c r="S123" i="11"/>
  <c r="Q123" i="11"/>
  <c r="R123" i="11" s="1"/>
  <c r="O123" i="11"/>
  <c r="J123" i="11"/>
  <c r="R31" i="11" l="1"/>
  <c r="P31" i="11"/>
  <c r="R30" i="11"/>
  <c r="P30" i="11"/>
  <c r="R29" i="11"/>
  <c r="P29" i="11"/>
  <c r="P32" i="11"/>
  <c r="R32" i="11"/>
  <c r="R28" i="11"/>
  <c r="P28" i="11"/>
  <c r="R27" i="11"/>
  <c r="P27" i="11"/>
  <c r="P42" i="11"/>
  <c r="R42" i="11"/>
  <c r="T121" i="11"/>
  <c r="R37" i="11"/>
  <c r="Q122" i="11"/>
  <c r="S121" i="11"/>
  <c r="O154" i="11"/>
  <c r="O153" i="11" s="1"/>
  <c r="J154" i="11"/>
  <c r="J153" i="11" s="1"/>
  <c r="J121" i="11"/>
  <c r="K154" i="11"/>
  <c r="K153" i="11" s="1"/>
  <c r="N154" i="11"/>
  <c r="N153" i="11" s="1"/>
  <c r="L154" i="11"/>
  <c r="L153" i="11" s="1"/>
  <c r="Q154" i="11"/>
  <c r="T154" i="11"/>
  <c r="T153" i="11" s="1"/>
  <c r="S154" i="11"/>
  <c r="S153" i="11" s="1"/>
  <c r="M39" i="11"/>
  <c r="R39" i="11" s="1"/>
  <c r="P51" i="11"/>
  <c r="L125" i="11"/>
  <c r="K125" i="11"/>
  <c r="Q125" i="11"/>
  <c r="O121" i="11"/>
  <c r="N125" i="11"/>
  <c r="N123" i="11"/>
  <c r="N121" i="11" s="1"/>
  <c r="L123" i="11"/>
  <c r="K123" i="11"/>
  <c r="M156" i="11"/>
  <c r="R156" i="11" s="1"/>
  <c r="M158" i="11"/>
  <c r="M157" i="11" s="1"/>
  <c r="R157" i="11" s="1"/>
  <c r="M161" i="11"/>
  <c r="R161" i="11" s="1"/>
  <c r="M162" i="11"/>
  <c r="R162" i="11" s="1"/>
  <c r="M164" i="11"/>
  <c r="M163" i="11" s="1"/>
  <c r="M166" i="11"/>
  <c r="R166" i="11" s="1"/>
  <c r="M168" i="11"/>
  <c r="R168" i="11" s="1"/>
  <c r="M170" i="11"/>
  <c r="R170" i="11" s="1"/>
  <c r="M171" i="11"/>
  <c r="M175" i="11"/>
  <c r="M126" i="11"/>
  <c r="M128" i="11"/>
  <c r="M129" i="11"/>
  <c r="R129" i="11" s="1"/>
  <c r="M130" i="11"/>
  <c r="R130" i="11" s="1"/>
  <c r="M133" i="11"/>
  <c r="M134" i="11"/>
  <c r="R134" i="11" s="1"/>
  <c r="M136" i="11"/>
  <c r="R136" i="11" s="1"/>
  <c r="M137" i="11"/>
  <c r="M138" i="11"/>
  <c r="M143" i="11"/>
  <c r="M145" i="11"/>
  <c r="M146" i="11"/>
  <c r="M147" i="11"/>
  <c r="M149" i="11"/>
  <c r="R149" i="11" s="1"/>
  <c r="M150" i="11"/>
  <c r="R150" i="11" s="1"/>
  <c r="M151" i="11"/>
  <c r="M152" i="11"/>
  <c r="P152" i="11" s="1"/>
  <c r="P108" i="11"/>
  <c r="M93" i="11"/>
  <c r="M92" i="11" s="1"/>
  <c r="M97" i="11"/>
  <c r="R97" i="11" s="1"/>
  <c r="M98" i="11"/>
  <c r="R98" i="11" s="1"/>
  <c r="M100" i="11"/>
  <c r="P82" i="11"/>
  <c r="P26" i="11" l="1"/>
  <c r="O176" i="11"/>
  <c r="P171" i="11"/>
  <c r="R171" i="11"/>
  <c r="M125" i="11"/>
  <c r="R125" i="11" s="1"/>
  <c r="R126" i="11"/>
  <c r="M127" i="11"/>
  <c r="R127" i="11" s="1"/>
  <c r="R128" i="11"/>
  <c r="M131" i="11"/>
  <c r="R131" i="11" s="1"/>
  <c r="R133" i="11"/>
  <c r="Q153" i="11"/>
  <c r="M140" i="11"/>
  <c r="R140" i="11" s="1"/>
  <c r="R143" i="11"/>
  <c r="M36" i="11"/>
  <c r="M86" i="11" s="1"/>
  <c r="Q121" i="11"/>
  <c r="K121" i="11"/>
  <c r="L121" i="11"/>
  <c r="P175" i="11"/>
  <c r="P172" i="11" s="1"/>
  <c r="M172" i="11"/>
  <c r="R172" i="11" s="1"/>
  <c r="M169" i="11"/>
  <c r="R169" i="11" s="1"/>
  <c r="M148" i="11"/>
  <c r="R148" i="11" s="1"/>
  <c r="P170" i="11"/>
  <c r="M165" i="11"/>
  <c r="R165" i="11" s="1"/>
  <c r="P166" i="11"/>
  <c r="P126" i="11"/>
  <c r="P125" i="11" s="1"/>
  <c r="M155" i="11"/>
  <c r="R155" i="11" s="1"/>
  <c r="P156" i="11"/>
  <c r="P155" i="11" s="1"/>
  <c r="P136" i="11"/>
  <c r="M132" i="11"/>
  <c r="R132" i="11" s="1"/>
  <c r="P134" i="11"/>
  <c r="P132" i="11" s="1"/>
  <c r="P137" i="11"/>
  <c r="M167" i="11"/>
  <c r="R167" i="11" s="1"/>
  <c r="M135" i="11"/>
  <c r="R135" i="11" s="1"/>
  <c r="M144" i="11"/>
  <c r="M160" i="11"/>
  <c r="R160" i="11" s="1"/>
  <c r="P143" i="11"/>
  <c r="P140" i="11" s="1"/>
  <c r="K177" i="11"/>
  <c r="R36" i="11" l="1"/>
  <c r="P122" i="11"/>
  <c r="M121" i="11"/>
  <c r="R121" i="11" s="1"/>
  <c r="M122" i="11"/>
  <c r="M154" i="11"/>
  <c r="R154" i="11" s="1"/>
  <c r="T176" i="11"/>
  <c r="S176" i="11"/>
  <c r="Q176" i="11"/>
  <c r="J87" i="11"/>
  <c r="J117" i="11" s="1"/>
  <c r="T177" i="11"/>
  <c r="S177" i="11"/>
  <c r="Q177" i="11"/>
  <c r="P162" i="11"/>
  <c r="P151" i="11"/>
  <c r="P150" i="11"/>
  <c r="P147" i="11"/>
  <c r="P146" i="11"/>
  <c r="P138" i="11"/>
  <c r="P135" i="11" s="1"/>
  <c r="P130" i="11"/>
  <c r="P129" i="11"/>
  <c r="P37" i="11"/>
  <c r="P38" i="11"/>
  <c r="P52" i="11"/>
  <c r="P54" i="11"/>
  <c r="P55" i="11"/>
  <c r="P56" i="11"/>
  <c r="P57" i="11"/>
  <c r="P58" i="11"/>
  <c r="P60" i="11"/>
  <c r="P61" i="11"/>
  <c r="P64" i="11"/>
  <c r="P65" i="11"/>
  <c r="P68" i="11"/>
  <c r="P69" i="11"/>
  <c r="P70" i="11"/>
  <c r="P71" i="11"/>
  <c r="P72" i="11"/>
  <c r="P46" i="11" s="1"/>
  <c r="P73" i="11"/>
  <c r="P47" i="11" s="1"/>
  <c r="P74" i="11"/>
  <c r="P77" i="11"/>
  <c r="P78" i="11"/>
  <c r="P79" i="11"/>
  <c r="P80" i="11"/>
  <c r="P81" i="11"/>
  <c r="P83" i="11"/>
  <c r="P85" i="11"/>
  <c r="P49" i="11"/>
  <c r="P39" i="11"/>
  <c r="P43" i="11"/>
  <c r="L177" i="11"/>
  <c r="L110" i="11"/>
  <c r="L105" i="11" s="1"/>
  <c r="L113" i="11" s="1"/>
  <c r="L116" i="11" s="1"/>
  <c r="K110" i="11"/>
  <c r="K105" i="11" s="1"/>
  <c r="K113" i="11" s="1"/>
  <c r="K116" i="11" s="1"/>
  <c r="L104" i="11"/>
  <c r="L112" i="11" s="1"/>
  <c r="K106" i="11"/>
  <c r="K104" i="11" s="1"/>
  <c r="K112" i="11" s="1"/>
  <c r="L96" i="11"/>
  <c r="L95" i="11" s="1"/>
  <c r="L94" i="11" s="1"/>
  <c r="K96" i="11"/>
  <c r="K95" i="11" s="1"/>
  <c r="K94" i="11" s="1"/>
  <c r="L91" i="11"/>
  <c r="K91" i="11"/>
  <c r="L47" i="11"/>
  <c r="K47" i="11"/>
  <c r="L87" i="11"/>
  <c r="K87" i="11"/>
  <c r="L86" i="11"/>
  <c r="L26" i="11"/>
  <c r="K26" i="11"/>
  <c r="L18" i="11"/>
  <c r="K18" i="11"/>
  <c r="L4" i="11"/>
  <c r="K4" i="11"/>
  <c r="J177" i="11"/>
  <c r="J110" i="11"/>
  <c r="J109" i="11" s="1"/>
  <c r="J105" i="11" s="1"/>
  <c r="J113" i="11" s="1"/>
  <c r="J116" i="11" s="1"/>
  <c r="J104" i="11"/>
  <c r="J112" i="11" s="1"/>
  <c r="J47" i="11"/>
  <c r="J88" i="11" s="1"/>
  <c r="J118" i="11" s="1"/>
  <c r="J26" i="11"/>
  <c r="J18" i="11"/>
  <c r="J4" i="11"/>
  <c r="O177" i="11"/>
  <c r="O178" i="11" s="1"/>
  <c r="P45" i="11" l="1"/>
  <c r="M177" i="11"/>
  <c r="R122" i="11"/>
  <c r="R177" i="11"/>
  <c r="R86" i="11"/>
  <c r="P36" i="11"/>
  <c r="K117" i="11"/>
  <c r="K89" i="11"/>
  <c r="K101" i="11"/>
  <c r="K102" i="11" s="1"/>
  <c r="S178" i="11"/>
  <c r="M99" i="11"/>
  <c r="Q178" i="11"/>
  <c r="M96" i="11"/>
  <c r="L88" i="11"/>
  <c r="L89" i="11" s="1"/>
  <c r="L117" i="11"/>
  <c r="J176" i="11"/>
  <c r="J178" i="11" s="1"/>
  <c r="M4" i="11"/>
  <c r="M3" i="11" s="1"/>
  <c r="L176" i="11"/>
  <c r="L178" i="11" s="1"/>
  <c r="K176" i="11"/>
  <c r="K178" i="11" s="1"/>
  <c r="K114" i="11"/>
  <c r="L114" i="11"/>
  <c r="L101" i="11"/>
  <c r="L102" i="11" s="1"/>
  <c r="L3" i="11"/>
  <c r="L33" i="11" s="1"/>
  <c r="L34" i="11" s="1"/>
  <c r="K3" i="11"/>
  <c r="K33" i="11" s="1"/>
  <c r="K34" i="11" s="1"/>
  <c r="N176" i="11"/>
  <c r="J114" i="11"/>
  <c r="J86" i="11"/>
  <c r="J89" i="11" s="1"/>
  <c r="J3" i="11"/>
  <c r="R46" i="11"/>
  <c r="Q47" i="11"/>
  <c r="R47" i="11" s="1"/>
  <c r="O87" i="11"/>
  <c r="M88" i="11"/>
  <c r="M91" i="11"/>
  <c r="P98" i="11"/>
  <c r="P100" i="11"/>
  <c r="P99" i="11" s="1"/>
  <c r="O99" i="11"/>
  <c r="N99" i="11"/>
  <c r="S26" i="11"/>
  <c r="Q26" i="11"/>
  <c r="O26" i="11"/>
  <c r="M26" i="11"/>
  <c r="S18" i="11"/>
  <c r="Q18" i="11"/>
  <c r="O18" i="11"/>
  <c r="M18" i="11"/>
  <c r="S4" i="11"/>
  <c r="Q4" i="11"/>
  <c r="O4" i="11"/>
  <c r="R18" i="11" l="1"/>
  <c r="R26" i="11"/>
  <c r="R4" i="11"/>
  <c r="L115" i="11"/>
  <c r="J33" i="11"/>
  <c r="J34" i="11" s="1"/>
  <c r="M95" i="11"/>
  <c r="L118" i="11"/>
  <c r="K115" i="11"/>
  <c r="O91" i="11"/>
  <c r="N86" i="11"/>
  <c r="M87" i="11"/>
  <c r="N87" i="11"/>
  <c r="N117" i="11" s="1"/>
  <c r="O117" i="11"/>
  <c r="Q87" i="11"/>
  <c r="S87" i="11"/>
  <c r="T87" i="11"/>
  <c r="M118" i="11"/>
  <c r="N47" i="11"/>
  <c r="N88" i="11" s="1"/>
  <c r="N118" i="11" s="1"/>
  <c r="O88" i="11"/>
  <c r="O118" i="11" s="1"/>
  <c r="S47" i="11"/>
  <c r="S88" i="11" s="1"/>
  <c r="S118" i="11" s="1"/>
  <c r="T88" i="11"/>
  <c r="T118" i="11" s="1"/>
  <c r="P158" i="11"/>
  <c r="P157" i="11" s="1"/>
  <c r="P161" i="11"/>
  <c r="P160" i="11" s="1"/>
  <c r="P164" i="11"/>
  <c r="P163" i="11" s="1"/>
  <c r="P165" i="11"/>
  <c r="P168" i="11"/>
  <c r="P167" i="11" s="1"/>
  <c r="P169" i="11"/>
  <c r="P128" i="11"/>
  <c r="P127" i="11" s="1"/>
  <c r="P133" i="11"/>
  <c r="P131" i="11" s="1"/>
  <c r="P145" i="11"/>
  <c r="P144" i="11" s="1"/>
  <c r="P149" i="11"/>
  <c r="P148" i="11" s="1"/>
  <c r="P124" i="11"/>
  <c r="P123" i="11" s="1"/>
  <c r="S106" i="11"/>
  <c r="S112" i="11" s="1"/>
  <c r="P93" i="11"/>
  <c r="P92" i="11" s="1"/>
  <c r="T91" i="11"/>
  <c r="S91" i="11"/>
  <c r="Q106" i="11"/>
  <c r="Q91" i="11"/>
  <c r="R91" i="11" s="1"/>
  <c r="N101" i="11"/>
  <c r="Q96" i="11"/>
  <c r="N4" i="11"/>
  <c r="O106" i="11"/>
  <c r="O104" i="11" s="1"/>
  <c r="M106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P97" i="11"/>
  <c r="P96" i="11" s="1"/>
  <c r="T106" i="11"/>
  <c r="T104" i="11" s="1"/>
  <c r="O96" i="11"/>
  <c r="O95" i="11" s="1"/>
  <c r="O94" i="11" s="1"/>
  <c r="N18" i="11"/>
  <c r="P19" i="11"/>
  <c r="P20" i="11"/>
  <c r="P21" i="11"/>
  <c r="P22" i="11"/>
  <c r="P23" i="11"/>
  <c r="P24" i="11"/>
  <c r="P25" i="11"/>
  <c r="N106" i="11"/>
  <c r="N112" i="11" s="1"/>
  <c r="N96" i="11"/>
  <c r="N110" i="11"/>
  <c r="N109" i="11" s="1"/>
  <c r="N105" i="11" s="1"/>
  <c r="P111" i="11"/>
  <c r="T110" i="11"/>
  <c r="T109" i="11" s="1"/>
  <c r="T105" i="11" s="1"/>
  <c r="T113" i="11" s="1"/>
  <c r="S110" i="11"/>
  <c r="S109" i="11" s="1"/>
  <c r="S105" i="11" s="1"/>
  <c r="S113" i="11" s="1"/>
  <c r="Q110" i="11"/>
  <c r="R110" i="11" s="1"/>
  <c r="O110" i="11"/>
  <c r="O109" i="11" s="1"/>
  <c r="O105" i="11" s="1"/>
  <c r="O113" i="11" s="1"/>
  <c r="O116" i="11" s="1"/>
  <c r="M110" i="11"/>
  <c r="M109" i="11" s="1"/>
  <c r="T96" i="11"/>
  <c r="T95" i="11" s="1"/>
  <c r="T94" i="11" s="1"/>
  <c r="S96" i="11"/>
  <c r="S95" i="11" s="1"/>
  <c r="S94" i="11" s="1"/>
  <c r="R87" i="11" l="1"/>
  <c r="Q95" i="11"/>
  <c r="R96" i="11"/>
  <c r="Q112" i="11"/>
  <c r="R106" i="11"/>
  <c r="M117" i="11"/>
  <c r="M89" i="11"/>
  <c r="P121" i="11"/>
  <c r="P154" i="11"/>
  <c r="P153" i="11" s="1"/>
  <c r="P106" i="11"/>
  <c r="O101" i="11"/>
  <c r="O102" i="11" s="1"/>
  <c r="P177" i="11"/>
  <c r="M94" i="11"/>
  <c r="L119" i="11"/>
  <c r="L179" i="11" s="1"/>
  <c r="M104" i="11"/>
  <c r="T101" i="11"/>
  <c r="T102" i="11" s="1"/>
  <c r="S101" i="11"/>
  <c r="S102" i="11" s="1"/>
  <c r="P91" i="11"/>
  <c r="P18" i="11"/>
  <c r="P4" i="11"/>
  <c r="T86" i="11"/>
  <c r="T89" i="11" s="1"/>
  <c r="O112" i="11"/>
  <c r="O114" i="11" s="1"/>
  <c r="P86" i="11"/>
  <c r="Q88" i="11"/>
  <c r="N89" i="11"/>
  <c r="P88" i="11"/>
  <c r="P118" i="11" s="1"/>
  <c r="N178" i="11"/>
  <c r="O3" i="11"/>
  <c r="O33" i="11" s="1"/>
  <c r="O34" i="11" s="1"/>
  <c r="N113" i="11"/>
  <c r="N116" i="11" s="1"/>
  <c r="P95" i="11"/>
  <c r="P94" i="11" s="1"/>
  <c r="N3" i="11"/>
  <c r="N33" i="11" s="1"/>
  <c r="N34" i="11" s="1"/>
  <c r="N104" i="11"/>
  <c r="T112" i="11"/>
  <c r="S104" i="11"/>
  <c r="Q104" i="11"/>
  <c r="O89" i="11"/>
  <c r="T33" i="11"/>
  <c r="S3" i="11"/>
  <c r="S33" i="11" s="1"/>
  <c r="S34" i="11" s="1"/>
  <c r="Q3" i="11"/>
  <c r="M33" i="11"/>
  <c r="M34" i="11" s="1"/>
  <c r="T117" i="11"/>
  <c r="S117" i="11"/>
  <c r="N102" i="11"/>
  <c r="S114" i="11"/>
  <c r="S116" i="11"/>
  <c r="M105" i="11"/>
  <c r="M113" i="11" s="1"/>
  <c r="M116" i="11" s="1"/>
  <c r="P109" i="11"/>
  <c r="P105" i="11" s="1"/>
  <c r="P113" i="11" s="1"/>
  <c r="P116" i="11" s="1"/>
  <c r="T116" i="11"/>
  <c r="Q117" i="11"/>
  <c r="P110" i="11"/>
  <c r="Q109" i="11"/>
  <c r="R109" i="11" s="1"/>
  <c r="P101" i="11" l="1"/>
  <c r="P102" i="11" s="1"/>
  <c r="R117" i="11"/>
  <c r="R3" i="11"/>
  <c r="R104" i="11"/>
  <c r="Q118" i="11"/>
  <c r="R118" i="11" s="1"/>
  <c r="R88" i="11"/>
  <c r="Q94" i="11"/>
  <c r="R95" i="11"/>
  <c r="P176" i="11"/>
  <c r="P178" i="11" s="1"/>
  <c r="P3" i="11"/>
  <c r="P33" i="11" s="1"/>
  <c r="P34" i="11" s="1"/>
  <c r="P104" i="11"/>
  <c r="P112" i="11"/>
  <c r="M101" i="11"/>
  <c r="S89" i="11"/>
  <c r="S115" i="11"/>
  <c r="T34" i="11"/>
  <c r="T115" i="11"/>
  <c r="T119" i="11" s="1"/>
  <c r="J115" i="11"/>
  <c r="J119" i="11" s="1"/>
  <c r="J179" i="11" s="1"/>
  <c r="M112" i="11"/>
  <c r="R112" i="11" s="1"/>
  <c r="T178" i="11"/>
  <c r="Q89" i="11"/>
  <c r="R89" i="11" s="1"/>
  <c r="P87" i="11"/>
  <c r="P117" i="11" s="1"/>
  <c r="N114" i="11"/>
  <c r="T114" i="11"/>
  <c r="Q33" i="11"/>
  <c r="R33" i="11" s="1"/>
  <c r="O115" i="11"/>
  <c r="O119" i="11" s="1"/>
  <c r="O179" i="11" s="1"/>
  <c r="Q105" i="11"/>
  <c r="R105" i="11" s="1"/>
  <c r="N115" i="11"/>
  <c r="N119" i="11" s="1"/>
  <c r="N179" i="11" s="1"/>
  <c r="R94" i="11" l="1"/>
  <c r="Q101" i="11"/>
  <c r="Q115" i="11" s="1"/>
  <c r="S119" i="11"/>
  <c r="S179" i="11" s="1"/>
  <c r="M102" i="11"/>
  <c r="P115" i="11"/>
  <c r="P119" i="11" s="1"/>
  <c r="P179" i="11" s="1"/>
  <c r="M114" i="11"/>
  <c r="T179" i="11"/>
  <c r="Q34" i="11"/>
  <c r="R34" i="11" s="1"/>
  <c r="M115" i="11"/>
  <c r="P89" i="11"/>
  <c r="Q113" i="11"/>
  <c r="R113" i="11" s="1"/>
  <c r="P114" i="11"/>
  <c r="R115" i="11" l="1"/>
  <c r="R101" i="11"/>
  <c r="Q102" i="11"/>
  <c r="R102" i="11" s="1"/>
  <c r="M119" i="11"/>
  <c r="Q116" i="11"/>
  <c r="R116" i="11" s="1"/>
  <c r="Q114" i="11"/>
  <c r="R114" i="11" s="1"/>
  <c r="Q119" i="11" l="1"/>
  <c r="Q179" i="11" l="1"/>
  <c r="R119" i="11"/>
  <c r="M153" i="11"/>
  <c r="R153" i="11" s="1"/>
  <c r="M176" i="11" l="1"/>
  <c r="M178" i="11" l="1"/>
  <c r="R176" i="11"/>
  <c r="M179" i="11" l="1"/>
  <c r="R178" i="11"/>
  <c r="K118" i="11"/>
  <c r="K119" i="11" s="1"/>
  <c r="R179" i="11" l="1"/>
  <c r="M180" i="11"/>
  <c r="K179" i="11"/>
  <c r="L182" i="11" s="1"/>
</calcChain>
</file>

<file path=xl/sharedStrings.xml><?xml version="1.0" encoding="utf-8"?>
<sst xmlns="http://schemas.openxmlformats.org/spreadsheetml/2006/main" count="1210" uniqueCount="236">
  <si>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</si>
  <si>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</si>
  <si>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</si>
  <si>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</si>
  <si>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</si>
  <si>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</si>
  <si>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</si>
  <si>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</si>
  <si>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</si>
  <si>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</si>
  <si>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</si>
  <si>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</si>
  <si>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</si>
  <si>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</si>
  <si>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</si>
  <si>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</si>
  <si>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</si>
  <si>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</si>
  <si>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</si>
  <si>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</si>
  <si>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</si>
  <si>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</si>
  <si>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</si>
  <si>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</si>
  <si>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</si>
  <si>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</si>
  <si>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</si>
  <si>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</si>
  <si>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</si>
  <si>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</si>
  <si>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</si>
  <si>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</si>
  <si>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</si>
  <si>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</si>
  <si>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</si>
  <si>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</si>
  <si>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</si>
  <si>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</si>
  <si>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</si>
  <si>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</si>
  <si>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</si>
  <si>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</si>
  <si>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</si>
  <si>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</si>
  <si>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</si>
  <si>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</si>
  <si>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</si>
  <si>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</si>
  <si>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</si>
  <si>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</si>
  <si>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</si>
  <si>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</si>
  <si>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</si>
  <si>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</si>
  <si>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</si>
  <si>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</si>
  <si>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</si>
  <si>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</si>
  <si>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</si>
  <si>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</si>
  <si>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</si>
  <si>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</si>
  <si>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</si>
  <si>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</si>
  <si>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</si>
  <si>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</si>
  <si>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</si>
  <si>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</si>
  <si>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</si>
  <si>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</si>
  <si>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</si>
  <si>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</si>
  <si>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</si>
  <si>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</si>
  <si>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</si>
  <si>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</si>
  <si>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</si>
  <si>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</si>
  <si>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</si>
  <si>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</si>
  <si>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</si>
  <si>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</si>
  <si>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</si>
  <si>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</si>
  <si>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</si>
  <si>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</si>
  <si>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</si>
  <si>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</si>
  <si>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</si>
  <si>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</si>
  <si>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</si>
  <si>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</si>
  <si>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</si>
  <si>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</si>
  <si>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</si>
  <si>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</si>
  <si>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</si>
  <si>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19</t>
  </si>
  <si>
    <t>23</t>
  </si>
  <si>
    <t>EFECTIVIDAD DE LA INVESTIGACION PENAL Y TECNICO CIENTIFICA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</si>
  <si>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</si>
  <si>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</si>
  <si>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</si>
  <si>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</si>
  <si>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</si>
  <si>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</si>
  <si>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</si>
  <si>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</si>
  <si>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</si>
  <si>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</si>
  <si>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</si>
  <si>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</si>
  <si>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</si>
  <si>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</si>
  <si>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</si>
  <si>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</si>
  <si>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</si>
  <si>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</si>
  <si>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</si>
  <si>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</si>
  <si>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</si>
  <si>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</si>
  <si>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</si>
  <si>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</si>
  <si>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</si>
  <si>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</si>
  <si>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</si>
  <si>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</si>
  <si>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</si>
  <si>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</si>
  <si>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</si>
  <si>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</si>
  <si>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</si>
  <si>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</si>
  <si>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</si>
  <si>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</si>
  <si>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</si>
  <si>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</si>
  <si>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</si>
  <si>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</si>
  <si>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</si>
  <si>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APARATOS MÉDICOS, INSTRUMENTOS ÓPTICOS Y DE PRECISIÓN, RELOJES</t>
  </si>
  <si>
    <t>SERVICIOS PROFESIONALES, CIENTÍFICOS Y TÉCNICOS (EXCEPTO LOS SERVICIOS DE INVESTIGACION, URBANISMO, JURÍDICOS Y DE CONTABILIDAD)</t>
  </si>
  <si>
    <t>SERVICIOS RECREATIVOS, CULTURALES Y DEPORTIVOS</t>
  </si>
  <si>
    <t>20111d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</si>
  <si>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</si>
  <si>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</si>
  <si>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</si>
  <si>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</si>
  <si>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</si>
  <si>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</si>
  <si>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</si>
  <si>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</si>
  <si>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</si>
  <si>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</si>
  <si>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</si>
  <si>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</si>
  <si>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</si>
  <si>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</si>
  <si>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</si>
  <si>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</si>
  <si>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</si>
  <si>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</si>
  <si>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</si>
  <si>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</si>
  <si>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2999055</t>
  </si>
  <si>
    <t>2999016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</si>
  <si>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</si>
  <si>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</si>
  <si>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</si>
  <si>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</si>
  <si>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</si>
  <si>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</si>
  <si>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</si>
  <si>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</si>
  <si>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</si>
  <si>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</si>
  <si>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</si>
  <si>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</si>
  <si>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</si>
  <si>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</si>
  <si>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</si>
  <si>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</si>
  <si>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</si>
  <si>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</si>
  <si>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</si>
  <si>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</si>
  <si>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</si>
  <si>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</si>
  <si>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</si>
  <si>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</si>
  <si>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</si>
  <si>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SEDES MANTENIDAS - MEJORAMIENTO DEL PARQUE AUTOMOTOR DEL INSTITUTO NACIONAL DE MEDICINA LEGAL Y CIENCIAS FORENSES A NIVEL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</si>
  <si>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</si>
  <si>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</si>
  <si>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</si>
  <si>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</si>
  <si>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</si>
  <si>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</si>
  <si>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</si>
  <si>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</si>
  <si>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</si>
  <si>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</si>
  <si>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</si>
  <si>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</si>
  <si>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</si>
  <si>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</si>
  <si>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</si>
  <si>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</si>
  <si>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</si>
  <si>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</si>
  <si>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</si>
  <si>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</si>
  <si>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ARTICULOS TEXTILES (EXCEPTO PRENDAS DE VESTIR)</t>
  </si>
  <si>
    <t xml:space="preserve">Reviso: Cesar Augusto Acuña Reyes- coordinador- Grupo Nacional de Gestión Presupuestal </t>
  </si>
  <si>
    <t>Elaboro: Martha C. Florez Giraldo - Profes. Univer. Grupo Nacional de Gestión Presupuestal</t>
  </si>
  <si>
    <t>RUBRO</t>
  </si>
  <si>
    <t>PASTA O PULPA, PAPEL Y PRODUCTOS DE PAPEL; IMPRESOS Y ARTÍCULOS SIMILARES</t>
  </si>
  <si>
    <t>20111D</t>
  </si>
  <si>
    <t>20109C</t>
  </si>
  <si>
    <t>20113A</t>
  </si>
  <si>
    <t>53105B</t>
  </si>
  <si>
    <t>FORTALECIMIENTO  DEL SISTEMA DE ATENCION AL CUIDADANO DEL INSTITUTO NACIONAL DE MEDICINA LEGAL Y CIENCIAS FORENSES NACIONAL</t>
  </si>
  <si>
    <t>ADQUIS. DE BYS - SERVICIOS DE INFORMACIÓN IMPLEMENTADOS  - FORTALECIMIENTO DEL SISTEMA  DE ATENCION AL CUIDADANO DEL L INSTITUTO NACIONAL DE MEDICINA LEGAL Y CIENCIAS FORENSES  NACIONAL</t>
  </si>
  <si>
    <t>ADQUIS. DE BYS - SERVICIOS DE INFORMACION ACTUALIZADOS FORTALECIMIENTO  DE LA PLANEACION ESTRATEGICA Y DEL  SISTEMA  INTEGRADO DE GESTION EN EL INSTITUTO NACIONAL  DE MEDICINA LEGAL  Y CIENCIAS FORESNES NACIONAL</t>
  </si>
  <si>
    <t>CONSTRUCCION, DOTACION Y ADECUACION DE EDIFICIOS SEDES DEL INSTITUTO NACIONAL DE MEDICINA LEGAL  Y CIENCIAS FORENSES NACIONAL</t>
  </si>
  <si>
    <t>ADQUIS. DE BYS-SEDES ADECUADAS-CONSTRUCCION, DOTACION Y ADECUACION DE EDIFICIOS SEDES DEL INSTITUTO NACIONAL DE MEDICINA LEGAL  Y CIENCIAS FORENSES NACIONAL</t>
  </si>
  <si>
    <t>ADQUIS. DE BYS-SEDES CON REFORZAMIENTO ESTRUCTUTAL- CONSTRUCCION, DOTACION Y ADECUACION DE EDIFICIOS SEDES DEL INSTITUTO NACIONAL DE MEDICINA LEGAL  Y CIENCIAS FORENSES NACIONAL</t>
  </si>
  <si>
    <t>ADQUIS. DE BYS-SEDE CONSTRUIDA Y DOTADA-CONSTRUCCION, DOTACION Y ADECUACION DE EDIFICIOS SEDES DEL INSTITUTO NACIONAL DE MEDICINA LEGAL  Y CIENCIAS FORENSES NACIONAL</t>
  </si>
  <si>
    <t>OTRAS TRANSFERENCIAS - DISTRIBUCION PREVIO CONCEPTO DGPPN</t>
  </si>
  <si>
    <t>INCAPACIDADES Y LICENCIAS DE MATERNIDAD Y PATERNIDAD(NO DE PENSIONES)</t>
  </si>
  <si>
    <t>FORTALECIMIENTO Y APOYO A LA GESTION INSTITUCIONAL DEL SECTOR FISCALIA</t>
  </si>
  <si>
    <t>APROP. BLOQUEADA</t>
  </si>
  <si>
    <t>EQUIPO DE TRANSPORTE</t>
  </si>
  <si>
    <t>OTROS MINERALES</t>
  </si>
  <si>
    <t>Fecha-Junio 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</si>
</sst>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164" fontId="23" fillId="4" borderId="1" xfId="1" applyFont="1" applyFill="1" applyBorder="1" applyAlignment="1">
      <alignment horizontal="right" vertical="center" wrapText="1" readingOrder="1"/>
    </xf>
    <xf numFmtId="0" fontId="9" fillId="0" borderId="0" xfId="2" applyFont="1" applyAlignment="1">
      <alignment horizontal="center" vertical="center" wrapText="1"/>
    </xf>
    <xf numFmtId="10" fontId="9" fillId="0" borderId="0" xfId="4" applyNumberFormat="1" applyFont="1" applyFill="1" applyBorder="1" applyAlignment="1">
      <alignment horizontal="right" vertical="center" wrapText="1" readingOrder="1"/>
    </xf>
    <xf numFmtId="164" fontId="21" fillId="0" borderId="0" xfId="1" applyFont="1" applyAlignment="1">
      <alignment vertical="top" wrapText="1"/>
    </xf>
    <xf numFmtId="164" fontId="5" fillId="0" borderId="0" xfId="1" applyFont="1" applyFill="1" applyBorder="1"/>
    <xf numFmtId="164" fontId="23" fillId="0" borderId="1" xfId="1" applyFont="1" applyFill="1" applyBorder="1" applyAlignment="1">
      <alignment horizontal="right" vertical="center" wrapText="1" readingOrder="1"/>
    </xf>
    <xf numFmtId="4" fontId="8" fillId="0" borderId="1" xfId="1" applyNumberFormat="1" applyFont="1" applyFill="1" applyBorder="1" applyAlignment="1">
      <alignment horizontal="right" vertical="center" wrapText="1" readingOrder="1"/>
    </xf>
    <xf numFmtId="164" fontId="17" fillId="0" borderId="31" xfId="1" applyFont="1" applyFill="1" applyBorder="1" applyAlignment="1">
      <alignment horizontal="right" vertical="center" wrapText="1" readingOrder="1"/>
    </xf>
    <xf numFmtId="43" fontId="7" fillId="4" borderId="1" xfId="1" applyNumberFormat="1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43" fontId="7" fillId="3" borderId="1" xfId="1" applyNumberFormat="1" applyFont="1" applyFill="1" applyBorder="1" applyAlignment="1">
      <alignment horizontal="right"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30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85"/>
  <sheetViews>
    <sheetView showGridLines="0" tabSelected="1" zoomScale="140" zoomScaleNormal="140" workbookViewId="0">
      <pane ySplit="1" topLeftCell="A2" activePane="bottomLeft" state="frozen"/>
      <selection pane="bottomLeft" activeCell="A2" sqref="A2:T2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4" width="3.5703125" style="1" customWidth="1"/>
    <col min="5" max="5" width="4.1406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5703125" style="1" bestFit="1" customWidth="1"/>
    <col min="10" max="10" width="15.5703125" style="2" bestFit="1" customWidth="1"/>
    <col min="11" max="11" width="12.85546875" style="2" customWidth="1"/>
    <col min="12" max="12" width="14.28515625" style="2" bestFit="1" customWidth="1"/>
    <col min="13" max="13" width="13.140625" style="2" customWidth="1"/>
    <col min="14" max="14" width="14.7109375" style="2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23" t="s">
        <v>216</v>
      </c>
      <c r="B1" s="124"/>
      <c r="C1" s="124"/>
      <c r="D1" s="124"/>
      <c r="E1" s="124"/>
      <c r="F1" s="125"/>
      <c r="G1" s="87" t="s">
        <v>0</v>
      </c>
      <c r="H1" s="87" t="s">
        <v>1</v>
      </c>
      <c r="I1" s="87" t="s">
        <v>2</v>
      </c>
      <c r="J1" s="97" t="s">
        <v>145</v>
      </c>
      <c r="K1" s="97" t="s">
        <v>146</v>
      </c>
      <c r="L1" s="97" t="s">
        <v>147</v>
      </c>
      <c r="M1" s="87" t="s">
        <v>33</v>
      </c>
      <c r="N1" s="87" t="s">
        <v>232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20" t="s">
        <v>87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2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306184300000</v>
      </c>
      <c r="K3" s="37">
        <f t="shared" ref="K3:L3" si="0">K4+K18+K26</f>
        <v>0</v>
      </c>
      <c r="L3" s="103">
        <f t="shared" si="0"/>
        <v>0</v>
      </c>
      <c r="M3" s="103">
        <f>M4+M18+M26</f>
        <v>306184300000</v>
      </c>
      <c r="N3" s="37">
        <f>N4+N18+N26</f>
        <v>0</v>
      </c>
      <c r="O3" s="37">
        <f>O4+O18+O26</f>
        <v>133692318347</v>
      </c>
      <c r="P3" s="103">
        <f>P4+P18+P26</f>
        <v>172491981653</v>
      </c>
      <c r="Q3" s="37">
        <f>Q4+Q18+Q26</f>
        <v>133692318347</v>
      </c>
      <c r="R3" s="38">
        <f>IF(Q3&gt;1,Q3/(M3),0)</f>
        <v>0.43664001827330795</v>
      </c>
      <c r="S3" s="37">
        <f>S4+S18+S26</f>
        <v>129249882305</v>
      </c>
      <c r="T3" s="39">
        <f>T4+T18+T26</f>
        <v>129060593868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205807200000</v>
      </c>
      <c r="K4" s="24">
        <f t="shared" ref="K4:L4" si="1">SUM(K5:K17)</f>
        <v>0</v>
      </c>
      <c r="L4" s="24">
        <f t="shared" si="1"/>
        <v>0</v>
      </c>
      <c r="M4" s="24">
        <f>SUM(M5:M17)</f>
        <v>205807200000</v>
      </c>
      <c r="N4" s="24">
        <f>SUM(N5:N17)</f>
        <v>0</v>
      </c>
      <c r="O4" s="24">
        <f>SUM(O5:O17)</f>
        <v>87522213272</v>
      </c>
      <c r="P4" s="24">
        <f>SUM(P5:P17)</f>
        <v>118284986728</v>
      </c>
      <c r="Q4" s="24">
        <f>SUM(Q5:Q17)</f>
        <v>87522213272</v>
      </c>
      <c r="R4" s="96">
        <f t="shared" ref="R4:R34" si="2">IF(Q4&gt;1,Q4/(M4),0)</f>
        <v>0.4252631262268764</v>
      </c>
      <c r="S4" s="14">
        <f>SUM(S5:S17)</f>
        <v>87522213272</v>
      </c>
      <c r="T4" s="33">
        <f>SUM(T5:T17)</f>
        <v>87522213272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148735206872</v>
      </c>
      <c r="K5" s="9"/>
      <c r="L5" s="27"/>
      <c r="M5" s="27">
        <f>J5+K5-L5</f>
        <v>148735206872</v>
      </c>
      <c r="N5" s="9">
        <v>0</v>
      </c>
      <c r="O5" s="9">
        <v>71078502937</v>
      </c>
      <c r="P5" s="27">
        <f t="shared" ref="P5:P17" si="3">+M5-O5-N5</f>
        <v>77656703935</v>
      </c>
      <c r="Q5" s="9">
        <v>71078502937</v>
      </c>
      <c r="R5" s="25">
        <f t="shared" si="2"/>
        <v>0.47788620079823757</v>
      </c>
      <c r="S5" s="9">
        <v>71078502937</v>
      </c>
      <c r="T5" s="10">
        <v>71078502937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2997314519</v>
      </c>
      <c r="K6" s="9"/>
      <c r="L6" s="27"/>
      <c r="M6" s="27">
        <f t="shared" ref="M6:M17" si="4">J6+K6-L6</f>
        <v>2997314519</v>
      </c>
      <c r="N6" s="9">
        <v>0</v>
      </c>
      <c r="O6" s="9">
        <v>1347512158</v>
      </c>
      <c r="P6" s="27">
        <f t="shared" si="3"/>
        <v>1649802361</v>
      </c>
      <c r="Q6" s="9">
        <v>1347512158</v>
      </c>
      <c r="R6" s="25">
        <f t="shared" si="2"/>
        <v>0.44957315939255288</v>
      </c>
      <c r="S6" s="9">
        <v>1347512158</v>
      </c>
      <c r="T6" s="10">
        <v>1347512158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1494255110</v>
      </c>
      <c r="K7" s="9"/>
      <c r="L7" s="27"/>
      <c r="M7" s="27">
        <f t="shared" si="4"/>
        <v>1494255110</v>
      </c>
      <c r="N7" s="9">
        <v>0</v>
      </c>
      <c r="O7" s="9">
        <v>719156464</v>
      </c>
      <c r="P7" s="27">
        <f t="shared" si="3"/>
        <v>775098646</v>
      </c>
      <c r="Q7" s="9">
        <v>719156464</v>
      </c>
      <c r="R7" s="25">
        <f t="shared" si="2"/>
        <v>0.48128091327055927</v>
      </c>
      <c r="S7" s="9">
        <v>719156464</v>
      </c>
      <c r="T7" s="10">
        <v>719156464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298763820</v>
      </c>
      <c r="K8" s="9"/>
      <c r="L8" s="27"/>
      <c r="M8" s="27">
        <f t="shared" si="4"/>
        <v>298763820</v>
      </c>
      <c r="N8" s="9">
        <v>0</v>
      </c>
      <c r="O8" s="9">
        <v>134828454</v>
      </c>
      <c r="P8" s="27">
        <f t="shared" si="3"/>
        <v>163935366</v>
      </c>
      <c r="Q8" s="9">
        <v>134828454</v>
      </c>
      <c r="R8" s="25">
        <f t="shared" si="2"/>
        <v>0.45128775632872814</v>
      </c>
      <c r="S8" s="9">
        <v>134828454</v>
      </c>
      <c r="T8" s="10">
        <v>134828454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483862140</v>
      </c>
      <c r="K9" s="9"/>
      <c r="L9" s="27"/>
      <c r="M9" s="27">
        <f t="shared" si="4"/>
        <v>483862140</v>
      </c>
      <c r="N9" s="9">
        <v>0</v>
      </c>
      <c r="O9" s="9">
        <v>285653322</v>
      </c>
      <c r="P9" s="27">
        <f t="shared" si="3"/>
        <v>198208818</v>
      </c>
      <c r="Q9" s="9">
        <v>285653322</v>
      </c>
      <c r="R9" s="25">
        <f t="shared" si="2"/>
        <v>0.59036096934552473</v>
      </c>
      <c r="S9" s="9">
        <v>285653322</v>
      </c>
      <c r="T9" s="10">
        <v>285653322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6968238074</v>
      </c>
      <c r="K10" s="9"/>
      <c r="L10" s="27"/>
      <c r="M10" s="27">
        <f t="shared" si="4"/>
        <v>6968238074</v>
      </c>
      <c r="N10" s="9">
        <v>0</v>
      </c>
      <c r="O10" s="9">
        <v>168973012</v>
      </c>
      <c r="P10" s="27">
        <f t="shared" si="3"/>
        <v>6799265062</v>
      </c>
      <c r="Q10" s="9">
        <v>168973012</v>
      </c>
      <c r="R10" s="25">
        <f t="shared" si="2"/>
        <v>2.4249029698120501E-2</v>
      </c>
      <c r="S10" s="9">
        <v>168973012</v>
      </c>
      <c r="T10" s="10">
        <v>168973012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4907450047</v>
      </c>
      <c r="K11" s="9"/>
      <c r="L11" s="27"/>
      <c r="M11" s="27">
        <f t="shared" si="4"/>
        <v>4907450047</v>
      </c>
      <c r="N11" s="9">
        <v>0</v>
      </c>
      <c r="O11" s="9">
        <v>2927931019</v>
      </c>
      <c r="P11" s="27">
        <f t="shared" si="3"/>
        <v>1979519028</v>
      </c>
      <c r="Q11" s="9">
        <v>2927931019</v>
      </c>
      <c r="R11" s="25">
        <f t="shared" si="2"/>
        <v>0.59662981608745858</v>
      </c>
      <c r="S11" s="9">
        <v>2927931019</v>
      </c>
      <c r="T11" s="10">
        <v>2927931019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1224827603</v>
      </c>
      <c r="K12" s="9"/>
      <c r="L12" s="27"/>
      <c r="M12" s="27">
        <f t="shared" si="4"/>
        <v>1224827603</v>
      </c>
      <c r="N12" s="9">
        <v>0</v>
      </c>
      <c r="O12" s="9">
        <v>527845536</v>
      </c>
      <c r="P12" s="27">
        <f t="shared" si="3"/>
        <v>696982067</v>
      </c>
      <c r="Q12" s="9">
        <v>527845536</v>
      </c>
      <c r="R12" s="25">
        <f t="shared" si="2"/>
        <v>0.43095496436162534</v>
      </c>
      <c r="S12" s="9">
        <v>527845536</v>
      </c>
      <c r="T12" s="10">
        <v>527845536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16735066390</v>
      </c>
      <c r="K13" s="9"/>
      <c r="L13" s="27"/>
      <c r="M13" s="27">
        <f t="shared" si="4"/>
        <v>16735066390</v>
      </c>
      <c r="N13" s="9">
        <v>0</v>
      </c>
      <c r="O13" s="9">
        <v>94500766</v>
      </c>
      <c r="P13" s="27">
        <f t="shared" si="3"/>
        <v>16640565624</v>
      </c>
      <c r="Q13" s="9">
        <v>94500766</v>
      </c>
      <c r="R13" s="25">
        <f t="shared" si="2"/>
        <v>5.6468712939477025E-3</v>
      </c>
      <c r="S13" s="9">
        <v>94500766</v>
      </c>
      <c r="T13" s="10">
        <v>94500766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7969669494</v>
      </c>
      <c r="K14" s="9"/>
      <c r="L14" s="27"/>
      <c r="M14" s="27">
        <f t="shared" si="4"/>
        <v>7969669494</v>
      </c>
      <c r="N14" s="9">
        <v>0</v>
      </c>
      <c r="O14" s="9">
        <v>3122681319</v>
      </c>
      <c r="P14" s="27">
        <f t="shared" si="3"/>
        <v>4846988175</v>
      </c>
      <c r="Q14" s="9">
        <v>3122681319</v>
      </c>
      <c r="R14" s="25">
        <f t="shared" si="2"/>
        <v>0.39182067980998764</v>
      </c>
      <c r="S14" s="9">
        <v>3122681319</v>
      </c>
      <c r="T14" s="51">
        <v>3122681319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39955574</v>
      </c>
      <c r="K15" s="9"/>
      <c r="L15" s="27"/>
      <c r="M15" s="27">
        <f t="shared" si="4"/>
        <v>39955574</v>
      </c>
      <c r="N15" s="9">
        <v>0</v>
      </c>
      <c r="O15" s="9">
        <v>17861413</v>
      </c>
      <c r="P15" s="27">
        <f t="shared" si="3"/>
        <v>22094161</v>
      </c>
      <c r="Q15" s="9">
        <v>17861413</v>
      </c>
      <c r="R15" s="25">
        <f t="shared" si="2"/>
        <v>0.44703182089187354</v>
      </c>
      <c r="S15" s="9">
        <v>17861413</v>
      </c>
      <c r="T15" s="51">
        <v>17861413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19168549</v>
      </c>
      <c r="K16" s="9"/>
      <c r="L16" s="27"/>
      <c r="M16" s="27">
        <f t="shared" si="4"/>
        <v>19168549</v>
      </c>
      <c r="N16" s="27">
        <v>0</v>
      </c>
      <c r="O16" s="9">
        <v>8215736</v>
      </c>
      <c r="P16" s="27">
        <f t="shared" si="3"/>
        <v>10952813</v>
      </c>
      <c r="Q16" s="9">
        <v>8215736</v>
      </c>
      <c r="R16" s="25">
        <f t="shared" si="2"/>
        <v>0.42860500291388776</v>
      </c>
      <c r="S16" s="9">
        <v>8215736</v>
      </c>
      <c r="T16" s="51">
        <v>8215736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13933421808</v>
      </c>
      <c r="K17" s="9"/>
      <c r="L17" s="27"/>
      <c r="M17" s="27">
        <f t="shared" si="4"/>
        <v>13933421808</v>
      </c>
      <c r="N17" s="9">
        <v>0</v>
      </c>
      <c r="O17" s="9">
        <v>7088551136</v>
      </c>
      <c r="P17" s="27">
        <f t="shared" si="3"/>
        <v>6844870672</v>
      </c>
      <c r="Q17" s="9">
        <v>7088551136</v>
      </c>
      <c r="R17" s="25">
        <f t="shared" si="2"/>
        <v>0.50874445873231544</v>
      </c>
      <c r="S17" s="27">
        <v>7088551136</v>
      </c>
      <c r="T17" s="51">
        <v>7088551136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118">
        <v>10</v>
      </c>
      <c r="J18" s="24">
        <f>SUM(J19:J25)</f>
        <v>84833100000</v>
      </c>
      <c r="K18" s="24">
        <f t="shared" ref="K18:L18" si="5">SUM(K19:K25)</f>
        <v>0</v>
      </c>
      <c r="L18" s="24">
        <f t="shared" si="5"/>
        <v>0</v>
      </c>
      <c r="M18" s="24">
        <f>SUM(M19:M25)</f>
        <v>84833100000</v>
      </c>
      <c r="N18" s="14">
        <f>SUM(N19:N32)</f>
        <v>0</v>
      </c>
      <c r="O18" s="14">
        <f>SUM(O19:O25)</f>
        <v>39698298651</v>
      </c>
      <c r="P18" s="24">
        <f>SUM(P19:P25)</f>
        <v>45134801349</v>
      </c>
      <c r="Q18" s="14">
        <f>SUM(Q19:Q25)</f>
        <v>39698298651</v>
      </c>
      <c r="R18" s="26">
        <f t="shared" si="2"/>
        <v>0.46795765628039054</v>
      </c>
      <c r="S18" s="14">
        <f>SUM(S19:S25)</f>
        <v>35255862609</v>
      </c>
      <c r="T18" s="22">
        <f>SUM(T19:T25)</f>
        <v>35066574172</v>
      </c>
      <c r="U18" s="106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208</v>
      </c>
      <c r="H19" s="7" t="s">
        <v>5</v>
      </c>
      <c r="I19" s="8">
        <v>10</v>
      </c>
      <c r="J19" s="9">
        <v>22589800245</v>
      </c>
      <c r="K19" s="9"/>
      <c r="L19" s="27"/>
      <c r="M19" s="27">
        <f>J19+K19-L19</f>
        <v>22589800245</v>
      </c>
      <c r="N19" s="27">
        <v>0</v>
      </c>
      <c r="O19" s="9">
        <v>10973632400</v>
      </c>
      <c r="P19" s="27">
        <f t="shared" ref="P19:P32" si="6">+M19-O19-N19</f>
        <v>11616167845</v>
      </c>
      <c r="Q19" s="9">
        <v>10973632400</v>
      </c>
      <c r="R19" s="25">
        <f t="shared" si="2"/>
        <v>0.48577819551232598</v>
      </c>
      <c r="S19" s="9">
        <v>10973632400</v>
      </c>
      <c r="T19" s="51">
        <v>10973632400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209</v>
      </c>
      <c r="H20" s="7" t="s">
        <v>5</v>
      </c>
      <c r="I20" s="8">
        <v>10</v>
      </c>
      <c r="J20" s="9">
        <v>15845229516</v>
      </c>
      <c r="K20" s="9"/>
      <c r="L20" s="27"/>
      <c r="M20" s="27">
        <f t="shared" ref="M20:M24" si="7">J20+K20-L20</f>
        <v>15845229516</v>
      </c>
      <c r="N20" s="9">
        <v>0</v>
      </c>
      <c r="O20" s="9">
        <v>7716686100</v>
      </c>
      <c r="P20" s="27">
        <f t="shared" si="6"/>
        <v>8128543416</v>
      </c>
      <c r="Q20" s="9">
        <v>7716686100</v>
      </c>
      <c r="R20" s="25">
        <f t="shared" si="2"/>
        <v>0.48700374407375674</v>
      </c>
      <c r="S20" s="9">
        <v>7716686100</v>
      </c>
      <c r="T20" s="51">
        <v>7716686100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106</v>
      </c>
      <c r="H21" s="7" t="s">
        <v>5</v>
      </c>
      <c r="I21" s="8">
        <v>10</v>
      </c>
      <c r="J21" s="9">
        <v>19536078247</v>
      </c>
      <c r="K21" s="9"/>
      <c r="L21" s="27"/>
      <c r="M21" s="27">
        <f t="shared" si="7"/>
        <v>19536078247</v>
      </c>
      <c r="N21" s="9">
        <v>0</v>
      </c>
      <c r="O21" s="9">
        <v>3917111609</v>
      </c>
      <c r="P21" s="27">
        <f t="shared" si="6"/>
        <v>15618966638</v>
      </c>
      <c r="Q21" s="9">
        <v>3917111609</v>
      </c>
      <c r="R21" s="25">
        <f t="shared" si="2"/>
        <v>0.20050654790971262</v>
      </c>
      <c r="S21" s="9">
        <v>3917111609</v>
      </c>
      <c r="T21" s="51">
        <v>3727823172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210</v>
      </c>
      <c r="H22" s="7" t="s">
        <v>5</v>
      </c>
      <c r="I22" s="8">
        <v>10</v>
      </c>
      <c r="J22" s="9">
        <v>8155531002</v>
      </c>
      <c r="K22" s="9"/>
      <c r="L22" s="27"/>
      <c r="M22" s="27">
        <f t="shared" si="7"/>
        <v>8155531002</v>
      </c>
      <c r="N22" s="9">
        <v>0</v>
      </c>
      <c r="O22" s="9">
        <v>3786271600</v>
      </c>
      <c r="P22" s="27">
        <f t="shared" si="6"/>
        <v>4369259402</v>
      </c>
      <c r="Q22" s="9">
        <v>3786271600</v>
      </c>
      <c r="R22" s="25">
        <f t="shared" si="2"/>
        <v>0.4642581334154065</v>
      </c>
      <c r="S22" s="9">
        <v>3786271600</v>
      </c>
      <c r="T22" s="51">
        <v>3786271600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8571239642</v>
      </c>
      <c r="K23" s="9"/>
      <c r="L23" s="27"/>
      <c r="M23" s="27">
        <f t="shared" si="7"/>
        <v>8571239642</v>
      </c>
      <c r="N23" s="9">
        <v>0</v>
      </c>
      <c r="O23" s="9">
        <v>8571239642</v>
      </c>
      <c r="P23" s="27">
        <f t="shared" si="6"/>
        <v>0</v>
      </c>
      <c r="Q23" s="9">
        <v>8571239642</v>
      </c>
      <c r="R23" s="25">
        <f t="shared" si="2"/>
        <v>1</v>
      </c>
      <c r="S23" s="9">
        <v>4128803600</v>
      </c>
      <c r="T23" s="51">
        <v>4128803600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6106541634</v>
      </c>
      <c r="K24" s="9"/>
      <c r="L24" s="27"/>
      <c r="M24" s="27">
        <f t="shared" si="7"/>
        <v>6106541634</v>
      </c>
      <c r="N24" s="9">
        <v>0</v>
      </c>
      <c r="O24" s="9">
        <v>2839914000</v>
      </c>
      <c r="P24" s="27">
        <f t="shared" si="6"/>
        <v>3266627634</v>
      </c>
      <c r="Q24" s="9">
        <v>2839914000</v>
      </c>
      <c r="R24" s="25">
        <f t="shared" si="2"/>
        <v>0.46506094123520392</v>
      </c>
      <c r="S24" s="9">
        <v>2839914000</v>
      </c>
      <c r="T24" s="51">
        <v>2839914000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4028679714</v>
      </c>
      <c r="K25" s="9"/>
      <c r="L25" s="27"/>
      <c r="M25" s="27">
        <f>J25+K25-L25</f>
        <v>4028679714</v>
      </c>
      <c r="N25" s="9">
        <v>0</v>
      </c>
      <c r="O25" s="9">
        <v>1893443300</v>
      </c>
      <c r="P25" s="27">
        <f t="shared" si="6"/>
        <v>2135236414</v>
      </c>
      <c r="Q25" s="9">
        <v>1893443300</v>
      </c>
      <c r="R25" s="25">
        <f t="shared" si="2"/>
        <v>0.46999102296966566</v>
      </c>
      <c r="S25" s="9">
        <v>1893443300</v>
      </c>
      <c r="T25" s="51">
        <v>1893443300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15544000000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15544000000</v>
      </c>
      <c r="N26" s="14">
        <v>0</v>
      </c>
      <c r="O26" s="14">
        <f>O27+O28+O29+O30+O31+O32</f>
        <v>6471806424</v>
      </c>
      <c r="P26" s="24">
        <f>P27+P28+P29+P30+P31+P32</f>
        <v>9072193576</v>
      </c>
      <c r="Q26" s="14">
        <f>Q27+Q28+Q29+Q30+Q31+Q32</f>
        <v>6471806424</v>
      </c>
      <c r="R26" s="26">
        <f t="shared" si="2"/>
        <v>0.41635399022130726</v>
      </c>
      <c r="S26" s="24">
        <f>S27+S28+S29+S30+S31+S32</f>
        <v>6471806424</v>
      </c>
      <c r="T26" s="22">
        <f>T27+T28+T29+T30+T31+T32</f>
        <v>6471806424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138</v>
      </c>
      <c r="H27" s="7" t="s">
        <v>5</v>
      </c>
      <c r="I27" s="8" t="s">
        <v>6</v>
      </c>
      <c r="J27" s="9">
        <v>12109049805</v>
      </c>
      <c r="K27" s="9"/>
      <c r="L27" s="27"/>
      <c r="M27" s="27">
        <f>J27+K27-L27</f>
        <v>12109049805</v>
      </c>
      <c r="N27" s="9">
        <v>0</v>
      </c>
      <c r="O27" s="9">
        <v>4914137543</v>
      </c>
      <c r="P27" s="27">
        <f t="shared" si="6"/>
        <v>7194912262</v>
      </c>
      <c r="Q27" s="9">
        <v>4914137543</v>
      </c>
      <c r="R27" s="25">
        <f t="shared" si="2"/>
        <v>0.40582354702768519</v>
      </c>
      <c r="S27" s="9">
        <v>4914137543</v>
      </c>
      <c r="T27" s="51">
        <v>4914137543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458862190</v>
      </c>
      <c r="K28" s="9"/>
      <c r="L28" s="27"/>
      <c r="M28" s="27">
        <f t="shared" ref="M28:M32" si="9">J28+K28-L28</f>
        <v>458862190</v>
      </c>
      <c r="N28" s="9">
        <v>0</v>
      </c>
      <c r="O28" s="9">
        <v>278111021</v>
      </c>
      <c r="P28" s="27">
        <f t="shared" si="6"/>
        <v>180751169</v>
      </c>
      <c r="Q28" s="9">
        <v>278111021</v>
      </c>
      <c r="R28" s="25">
        <f t="shared" si="2"/>
        <v>0.60608833558502606</v>
      </c>
      <c r="S28" s="9">
        <v>278111021</v>
      </c>
      <c r="T28" s="51">
        <v>278111021</v>
      </c>
    </row>
    <row r="29" spans="1:21" s="6" customFormat="1" ht="16.5" customHeight="1" x14ac:dyDescent="0.25">
      <c r="A29" s="7" t="s">
        <v>3</v>
      </c>
      <c r="B29" s="65" t="s">
        <v>34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819318216</v>
      </c>
      <c r="K29" s="9"/>
      <c r="L29" s="27"/>
      <c r="M29" s="27">
        <f t="shared" si="9"/>
        <v>819318216</v>
      </c>
      <c r="N29" s="9">
        <v>0</v>
      </c>
      <c r="O29" s="9">
        <v>357432603</v>
      </c>
      <c r="P29" s="27">
        <f t="shared" si="6"/>
        <v>461885613</v>
      </c>
      <c r="Q29" s="9">
        <v>357432603</v>
      </c>
      <c r="R29" s="25">
        <f t="shared" si="2"/>
        <v>0.4362561408008534</v>
      </c>
      <c r="S29" s="9">
        <v>357432603</v>
      </c>
      <c r="T29" s="51">
        <v>357432603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564704052</v>
      </c>
      <c r="K30" s="9"/>
      <c r="L30" s="27"/>
      <c r="M30" s="27">
        <f t="shared" si="9"/>
        <v>564704052</v>
      </c>
      <c r="N30" s="9">
        <v>0</v>
      </c>
      <c r="O30" s="9">
        <v>205083407</v>
      </c>
      <c r="P30" s="27">
        <f t="shared" si="6"/>
        <v>359620645</v>
      </c>
      <c r="Q30" s="9">
        <v>205083407</v>
      </c>
      <c r="R30" s="25">
        <f t="shared" si="2"/>
        <v>0.36316971035299034</v>
      </c>
      <c r="S30" s="9">
        <v>205083407</v>
      </c>
      <c r="T30" s="51">
        <v>205083407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1496829460</v>
      </c>
      <c r="K31" s="9"/>
      <c r="L31" s="27"/>
      <c r="M31" s="27">
        <f t="shared" si="9"/>
        <v>1496829460</v>
      </c>
      <c r="N31" s="9">
        <v>0</v>
      </c>
      <c r="O31" s="9">
        <v>669626063</v>
      </c>
      <c r="P31" s="27">
        <f t="shared" si="6"/>
        <v>827203397</v>
      </c>
      <c r="Q31" s="9">
        <v>669626063</v>
      </c>
      <c r="R31" s="25">
        <f t="shared" si="2"/>
        <v>0.44736296344675097</v>
      </c>
      <c r="S31" s="9">
        <v>669626063</v>
      </c>
      <c r="T31" s="51">
        <v>669626063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95236277</v>
      </c>
      <c r="K32" s="9"/>
      <c r="L32" s="27"/>
      <c r="M32" s="27">
        <f t="shared" si="9"/>
        <v>95236277</v>
      </c>
      <c r="N32" s="9">
        <v>0</v>
      </c>
      <c r="O32" s="9">
        <v>47415787</v>
      </c>
      <c r="P32" s="27">
        <f t="shared" si="6"/>
        <v>47820490</v>
      </c>
      <c r="Q32" s="9">
        <v>47415787</v>
      </c>
      <c r="R32" s="25">
        <f t="shared" si="2"/>
        <v>0.4978752686856921</v>
      </c>
      <c r="S32" s="9">
        <v>47415787</v>
      </c>
      <c r="T32" s="51">
        <v>47415787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306184300000</v>
      </c>
      <c r="K33" s="64">
        <f t="shared" ref="K33:L33" si="10">K3</f>
        <v>0</v>
      </c>
      <c r="L33" s="64">
        <f t="shared" si="10"/>
        <v>0</v>
      </c>
      <c r="M33" s="64">
        <f>M3</f>
        <v>306184300000</v>
      </c>
      <c r="N33" s="64">
        <f>N3</f>
        <v>0</v>
      </c>
      <c r="O33" s="64">
        <f>O3</f>
        <v>133692318347</v>
      </c>
      <c r="P33" s="64">
        <f>P3</f>
        <v>172491981653</v>
      </c>
      <c r="Q33" s="64">
        <f>Q3</f>
        <v>133692318347</v>
      </c>
      <c r="R33" s="76">
        <f t="shared" si="2"/>
        <v>0.43664001827330795</v>
      </c>
      <c r="S33" s="64">
        <f>S3</f>
        <v>129249882305</v>
      </c>
      <c r="T33" s="73">
        <f>T3</f>
        <v>129060593868</v>
      </c>
      <c r="U33" s="105"/>
    </row>
    <row r="34" spans="1:21" ht="15" customHeight="1" thickBot="1" x14ac:dyDescent="0.3">
      <c r="A34" s="132" t="s">
        <v>25</v>
      </c>
      <c r="B34" s="133"/>
      <c r="C34" s="133"/>
      <c r="D34" s="133"/>
      <c r="E34" s="133"/>
      <c r="F34" s="133"/>
      <c r="G34" s="133"/>
      <c r="H34" s="133"/>
      <c r="I34" s="134"/>
      <c r="J34" s="77">
        <f>J33</f>
        <v>306184300000</v>
      </c>
      <c r="K34" s="77">
        <f t="shared" ref="K34:L34" si="11">K33</f>
        <v>0</v>
      </c>
      <c r="L34" s="77">
        <f t="shared" si="11"/>
        <v>0</v>
      </c>
      <c r="M34" s="77">
        <f t="shared" ref="M34:T34" si="12">M33</f>
        <v>306184300000</v>
      </c>
      <c r="N34" s="77">
        <f t="shared" si="12"/>
        <v>0</v>
      </c>
      <c r="O34" s="77">
        <f t="shared" si="12"/>
        <v>133692318347</v>
      </c>
      <c r="P34" s="77">
        <f t="shared" si="12"/>
        <v>172491981653</v>
      </c>
      <c r="Q34" s="77">
        <f t="shared" si="12"/>
        <v>133692318347</v>
      </c>
      <c r="R34" s="76">
        <f t="shared" si="2"/>
        <v>0.43664001827330795</v>
      </c>
      <c r="S34" s="77">
        <f t="shared" si="12"/>
        <v>129249882305</v>
      </c>
      <c r="T34" s="78">
        <f t="shared" si="12"/>
        <v>129060593868</v>
      </c>
    </row>
    <row r="35" spans="1:21" ht="15.75" customHeight="1" thickBot="1" x14ac:dyDescent="0.3">
      <c r="A35" s="126" t="s">
        <v>102</v>
      </c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8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J37+J38+J39+J40+J41+J42+J43+J44</f>
        <v>229203673</v>
      </c>
      <c r="K36" s="48">
        <f t="shared" ref="K36:P36" si="13">K37+K38+K39+K40+K41+K42+K43+K44</f>
        <v>1150023765</v>
      </c>
      <c r="L36" s="48">
        <f t="shared" si="13"/>
        <v>43306005</v>
      </c>
      <c r="M36" s="48">
        <f>M37+M38+M39+M40+M41+M42+M43+M44</f>
        <v>1335921433</v>
      </c>
      <c r="N36" s="48">
        <f t="shared" si="13"/>
        <v>0</v>
      </c>
      <c r="O36" s="48">
        <f t="shared" si="13"/>
        <v>1080291657</v>
      </c>
      <c r="P36" s="48">
        <f t="shared" si="13"/>
        <v>255629776</v>
      </c>
      <c r="Q36" s="48">
        <f>Q37+Q38+Q39+Q40+Q41+Q42+Q43+Q44</f>
        <v>554070041</v>
      </c>
      <c r="R36" s="62">
        <f t="shared" ref="R36:R89" si="14">IF(Q36&gt;1,Q36/(M36),0)</f>
        <v>0.41474747489884761</v>
      </c>
      <c r="S36" s="48">
        <f t="shared" ref="S36:T36" si="15">S37+S38+S39+S40+S41+S42+S43+S44</f>
        <v>133466130</v>
      </c>
      <c r="T36" s="48">
        <f t="shared" si="15"/>
        <v>133466130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140</v>
      </c>
      <c r="H37" s="7" t="s">
        <v>5</v>
      </c>
      <c r="I37" s="8">
        <v>10</v>
      </c>
      <c r="J37" s="44">
        <v>10344433</v>
      </c>
      <c r="K37" s="44">
        <f>102410000+4000000+1339328+60000000</f>
        <v>167749328</v>
      </c>
      <c r="L37" s="44">
        <v>6000000</v>
      </c>
      <c r="M37" s="44">
        <f>J37+K37-L37</f>
        <v>172093761</v>
      </c>
      <c r="N37" s="44"/>
      <c r="O37" s="44">
        <v>156410000</v>
      </c>
      <c r="P37" s="27">
        <f t="shared" ref="P37:P43" si="16">+M37-O37-N37</f>
        <v>15683761</v>
      </c>
      <c r="Q37" s="27">
        <v>102410000</v>
      </c>
      <c r="R37" s="69">
        <f t="shared" si="14"/>
        <v>0.59508258408043047</v>
      </c>
      <c r="S37" s="44">
        <v>102410000</v>
      </c>
      <c r="T37" s="70">
        <v>102410000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107</v>
      </c>
      <c r="H38" s="7" t="s">
        <v>5</v>
      </c>
      <c r="I38" s="8">
        <v>10</v>
      </c>
      <c r="J38" s="44">
        <v>57600000</v>
      </c>
      <c r="K38" s="44">
        <f>800000+1769586+11923800+20921616</f>
        <v>35415002</v>
      </c>
      <c r="L38" s="44">
        <f>74586+30000</f>
        <v>104586</v>
      </c>
      <c r="M38" s="44">
        <f t="shared" ref="M38:M44" si="17">J38+K38-L38</f>
        <v>92910416</v>
      </c>
      <c r="N38" s="44"/>
      <c r="O38" s="44">
        <v>42448375</v>
      </c>
      <c r="P38" s="27">
        <f t="shared" si="16"/>
        <v>50462041</v>
      </c>
      <c r="Q38" s="27">
        <v>17526759</v>
      </c>
      <c r="R38" s="69">
        <f t="shared" si="14"/>
        <v>0.18864148665527447</v>
      </c>
      <c r="S38" s="44">
        <v>16756759</v>
      </c>
      <c r="T38" s="70">
        <v>16756759</v>
      </c>
      <c r="U38" s="105"/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108</v>
      </c>
      <c r="H39" s="7" t="s">
        <v>5</v>
      </c>
      <c r="I39" s="8">
        <v>10</v>
      </c>
      <c r="J39" s="44">
        <v>25000000</v>
      </c>
      <c r="K39" s="44">
        <f>300000+154623+25977371</f>
        <v>26431994</v>
      </c>
      <c r="L39" s="44"/>
      <c r="M39" s="44">
        <f t="shared" si="17"/>
        <v>51431994</v>
      </c>
      <c r="N39" s="44"/>
      <c r="O39" s="44">
        <v>22121416</v>
      </c>
      <c r="P39" s="27">
        <f t="shared" si="16"/>
        <v>29310578</v>
      </c>
      <c r="Q39" s="27">
        <v>4821416</v>
      </c>
      <c r="R39" s="69">
        <f t="shared" si="14"/>
        <v>9.3743516924504236E-2</v>
      </c>
      <c r="S39" s="44">
        <v>4821416</v>
      </c>
      <c r="T39" s="70">
        <v>4821416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120</v>
      </c>
      <c r="H40" s="7" t="s">
        <v>5</v>
      </c>
      <c r="I40" s="8">
        <v>10</v>
      </c>
      <c r="J40" s="44">
        <v>63000000</v>
      </c>
      <c r="K40" s="44">
        <v>412350191</v>
      </c>
      <c r="L40" s="44"/>
      <c r="M40" s="44">
        <f>J40+K40-L40</f>
        <v>475350191</v>
      </c>
      <c r="N40" s="113">
        <v>0</v>
      </c>
      <c r="O40" s="44">
        <v>412350191</v>
      </c>
      <c r="P40" s="27">
        <f>+M40-O40-N40</f>
        <v>63000000</v>
      </c>
      <c r="Q40" s="27">
        <v>412350191</v>
      </c>
      <c r="R40" s="69">
        <f t="shared" si="14"/>
        <v>0.86746613088033875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43</v>
      </c>
      <c r="G41" s="23" t="s">
        <v>121</v>
      </c>
      <c r="H41" s="7" t="s">
        <v>5</v>
      </c>
      <c r="I41" s="8">
        <v>10</v>
      </c>
      <c r="J41" s="44">
        <v>35000000</v>
      </c>
      <c r="K41" s="44">
        <f>4000000+3419180</f>
        <v>7419180</v>
      </c>
      <c r="L41" s="44"/>
      <c r="M41" s="44">
        <f t="shared" si="17"/>
        <v>42419180</v>
      </c>
      <c r="N41" s="44"/>
      <c r="O41" s="44">
        <v>4000000</v>
      </c>
      <c r="P41" s="27">
        <f>+M41-O41-N41</f>
        <v>38419180</v>
      </c>
      <c r="Q41" s="27">
        <v>4000000</v>
      </c>
      <c r="R41" s="69">
        <f t="shared" si="14"/>
        <v>9.4296966608029664E-2</v>
      </c>
      <c r="S41" s="44">
        <v>2516280</v>
      </c>
      <c r="T41" s="70">
        <v>2516280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122</v>
      </c>
      <c r="H42" s="7" t="s">
        <v>5</v>
      </c>
      <c r="I42" s="8">
        <v>10</v>
      </c>
      <c r="J42" s="44">
        <v>18000000</v>
      </c>
      <c r="K42" s="44"/>
      <c r="L42" s="44">
        <v>1339328</v>
      </c>
      <c r="M42" s="44">
        <f t="shared" si="17"/>
        <v>16660672</v>
      </c>
      <c r="N42" s="44"/>
      <c r="O42" s="44">
        <v>6961675</v>
      </c>
      <c r="P42" s="27">
        <f t="shared" si="16"/>
        <v>9698997</v>
      </c>
      <c r="Q42" s="27">
        <v>6961675</v>
      </c>
      <c r="R42" s="69">
        <f t="shared" si="14"/>
        <v>0.41785079257307267</v>
      </c>
      <c r="S42" s="44">
        <v>6961675</v>
      </c>
      <c r="T42" s="70">
        <v>6961675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141</v>
      </c>
      <c r="H43" s="7" t="s">
        <v>5</v>
      </c>
      <c r="I43" s="8">
        <v>10</v>
      </c>
      <c r="J43" s="44">
        <v>20259240</v>
      </c>
      <c r="K43" s="44">
        <f>56285000+6146510</f>
        <v>62431510</v>
      </c>
      <c r="L43" s="44">
        <f>12559711+22902460</f>
        <v>35462171</v>
      </c>
      <c r="M43" s="44">
        <f t="shared" si="17"/>
        <v>47228579</v>
      </c>
      <c r="N43" s="44"/>
      <c r="O43" s="44">
        <v>6000000</v>
      </c>
      <c r="P43" s="27">
        <f t="shared" si="16"/>
        <v>41228579</v>
      </c>
      <c r="Q43" s="27">
        <v>6000000</v>
      </c>
      <c r="R43" s="69">
        <f t="shared" si="14"/>
        <v>0.12704172192011112</v>
      </c>
      <c r="S43" s="44">
        <v>0</v>
      </c>
      <c r="T43" s="44">
        <v>0</v>
      </c>
    </row>
    <row r="44" spans="1:21" ht="15.75" customHeight="1" x14ac:dyDescent="0.25">
      <c r="A44" s="91" t="s">
        <v>3</v>
      </c>
      <c r="B44" s="7" t="s">
        <v>50</v>
      </c>
      <c r="C44" s="7" t="s">
        <v>34</v>
      </c>
      <c r="D44" s="7" t="s">
        <v>34</v>
      </c>
      <c r="E44" s="7" t="s">
        <v>40</v>
      </c>
      <c r="F44" s="65" t="s">
        <v>46</v>
      </c>
      <c r="G44" s="23" t="s">
        <v>233</v>
      </c>
      <c r="H44" s="7" t="s">
        <v>5</v>
      </c>
      <c r="I44" s="8">
        <v>10</v>
      </c>
      <c r="J44" s="44">
        <v>0</v>
      </c>
      <c r="K44" s="44">
        <f>430000000+1999600+799840+5427120</f>
        <v>438226560</v>
      </c>
      <c r="L44" s="44">
        <f>399920</f>
        <v>399920</v>
      </c>
      <c r="M44" s="44">
        <f t="shared" si="17"/>
        <v>437826640</v>
      </c>
      <c r="N44" s="44"/>
      <c r="O44" s="44">
        <v>430000000</v>
      </c>
      <c r="P44" s="27">
        <f t="shared" ref="P44" si="18">+M44-O44-N44</f>
        <v>7826640</v>
      </c>
      <c r="Q44" s="27">
        <v>0</v>
      </c>
      <c r="R44" s="69">
        <f t="shared" si="14"/>
        <v>0</v>
      </c>
      <c r="S44" s="44">
        <v>0</v>
      </c>
      <c r="T44" s="44">
        <v>0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5</v>
      </c>
      <c r="I45" s="13">
        <v>10</v>
      </c>
      <c r="J45" s="48">
        <f t="shared" ref="J45:N45" si="19">J48+J49+J50+J51+J52+J53+J54+J55+J56+J57+J58+J59+J60+J61+J64+J65+J66+J67+J68+J69+J70+J71+J74+J75+J76+J77+J78+J79+J80+J81+J82+J83+J85+J62+J63</f>
        <v>49497396327</v>
      </c>
      <c r="K45" s="48">
        <f>K48+K49+K50+K51+K52+K53+K54+K55+K56+K57+K58+K59+K60+K61+K64+K65+K66+K67+K68+K69+K70+K71+K74+K75+K76+K77+K78+K79+K80+K81+K82+K83+K85+K62+K63</f>
        <v>4618107988.8899994</v>
      </c>
      <c r="L45" s="48">
        <f t="shared" si="19"/>
        <v>5724825748.8900003</v>
      </c>
      <c r="M45" s="48">
        <f t="shared" si="19"/>
        <v>48390678567</v>
      </c>
      <c r="N45" s="48">
        <f t="shared" si="19"/>
        <v>0</v>
      </c>
      <c r="O45" s="48">
        <f>O48+O49+O50+O51+O52+O53+O54+O55+O56+O57+O58+O59+O60+O61+O64+O65+O66+O67+O68+O69+O70+O71+O74+O75+O76+O77+O78+O79+O80+O81+O82+O83+O85+O62+O63</f>
        <v>36985366033.449997</v>
      </c>
      <c r="P45" s="48">
        <f>P48+P49+P50+P51+P52+P53+P54+P55+P56+P57+P58+P59+P60+P61+P64+P65+P66+P67+P68+P69+P70+P71+P74+P75+P76+P77+P78+P79+P80+P81+P82+P83+P85+P62+P63</f>
        <v>11405312533.549997</v>
      </c>
      <c r="Q45" s="48">
        <f>Q48+Q49+Q50+Q51+Q52+Q53+Q54+Q55+Q56+Q57+Q58+Q59+Q60+Q61+Q64+Q65+Q66+Q67+Q68+Q69+Q70+Q71+Q74+Q75+Q76+Q77+Q78+Q79+Q80+Q81+Q82+Q83+Q85+Q62+Q63</f>
        <v>34708161094.449997</v>
      </c>
      <c r="R45" s="62">
        <f>IF(Q45&gt;1,Q45/(M45),0)</f>
        <v>0.71724890252147055</v>
      </c>
      <c r="S45" s="24">
        <f>S48+S49+S50+S51+S52+S53+S54+S55+S56+S57+S58+S59+S60+S61+S64+S65+S66+S67+S68+S69+S70+S71+S74+S75+S76+S77+S78+S79+S80+S81+S82+S83+S85+S62+S63</f>
        <v>20468980310.739998</v>
      </c>
      <c r="T45" s="24">
        <f>T48+T49+T50+T51+T52+T53+T54+T55+T56+T57+T58+T59+T60+T61+T64+T65+T66+T67+T68+T69+T70+T71+T74+T75+T76+T77+T78+T79+T80+T81+T82+T83+T85+T62+T63</f>
        <v>20395749986.549995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20</v>
      </c>
      <c r="J46" s="48">
        <f>J72+J84</f>
        <v>950000000</v>
      </c>
      <c r="K46" s="48">
        <f t="shared" ref="K46:L46" si="20">K72+K84</f>
        <v>50000000</v>
      </c>
      <c r="L46" s="48">
        <f t="shared" si="20"/>
        <v>50000000</v>
      </c>
      <c r="M46" s="48">
        <f>M72+M84</f>
        <v>950000000</v>
      </c>
      <c r="N46" s="48">
        <f t="shared" ref="N46:P46" si="21">N72+N84</f>
        <v>0</v>
      </c>
      <c r="O46" s="48">
        <f t="shared" si="21"/>
        <v>53002559.939999998</v>
      </c>
      <c r="P46" s="24">
        <f t="shared" si="21"/>
        <v>896997440.05999994</v>
      </c>
      <c r="Q46" s="24">
        <f>Q72+Q84</f>
        <v>53002559.939999998</v>
      </c>
      <c r="R46" s="62">
        <f t="shared" si="14"/>
        <v>5.5792168357894738E-2</v>
      </c>
      <c r="S46" s="48">
        <f t="shared" ref="S46:T46" si="22">S72+S84</f>
        <v>53002559.939999998</v>
      </c>
      <c r="T46" s="68">
        <f t="shared" si="22"/>
        <v>48526342.939999998</v>
      </c>
    </row>
    <row r="47" spans="1:21" s="47" customFormat="1" ht="15" customHeight="1" x14ac:dyDescent="0.25">
      <c r="A47" s="90" t="s">
        <v>3</v>
      </c>
      <c r="B47" s="11" t="s">
        <v>50</v>
      </c>
      <c r="C47" s="11" t="s">
        <v>50</v>
      </c>
      <c r="D47" s="11"/>
      <c r="E47" s="11"/>
      <c r="F47" s="49"/>
      <c r="G47" s="12" t="s">
        <v>80</v>
      </c>
      <c r="H47" s="11" t="s">
        <v>8</v>
      </c>
      <c r="I47" s="13">
        <v>21</v>
      </c>
      <c r="J47" s="48">
        <f>J73</f>
        <v>475113000</v>
      </c>
      <c r="K47" s="48">
        <f t="shared" ref="K47:L47" si="23">K73</f>
        <v>0</v>
      </c>
      <c r="L47" s="48">
        <f t="shared" si="23"/>
        <v>0</v>
      </c>
      <c r="M47" s="48">
        <f>M73</f>
        <v>475113000</v>
      </c>
      <c r="N47" s="48">
        <f t="shared" ref="N47" si="24">N73</f>
        <v>0</v>
      </c>
      <c r="O47" s="48">
        <f>O73</f>
        <v>111847545</v>
      </c>
      <c r="P47" s="24">
        <f>P73</f>
        <v>363265455</v>
      </c>
      <c r="Q47" s="24">
        <f>Q73</f>
        <v>111847545</v>
      </c>
      <c r="R47" s="62">
        <f t="shared" si="14"/>
        <v>0.2354125123917889</v>
      </c>
      <c r="S47" s="48">
        <f>S73</f>
        <v>52988377</v>
      </c>
      <c r="T47" s="68">
        <f>T73</f>
        <v>0</v>
      </c>
    </row>
    <row r="48" spans="1:21" s="47" customFormat="1" ht="1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35</v>
      </c>
      <c r="F48" s="65" t="s">
        <v>43</v>
      </c>
      <c r="G48" s="23" t="s">
        <v>234</v>
      </c>
      <c r="H48" s="23" t="s">
        <v>5</v>
      </c>
      <c r="I48" s="7">
        <v>10</v>
      </c>
      <c r="J48" s="44">
        <v>0</v>
      </c>
      <c r="K48" s="44">
        <v>200000</v>
      </c>
      <c r="L48" s="44"/>
      <c r="M48" s="44">
        <f>J48+K48-L48</f>
        <v>200000</v>
      </c>
      <c r="N48" s="44">
        <v>0</v>
      </c>
      <c r="O48" s="44">
        <v>200000</v>
      </c>
      <c r="P48" s="27">
        <f t="shared" ref="P48" si="25">+M48-O48-N48</f>
        <v>0</v>
      </c>
      <c r="Q48" s="27">
        <v>0</v>
      </c>
      <c r="R48" s="69">
        <f t="shared" ref="R48" si="26">IF(Q48&gt;1,Q48/(M48),0)</f>
        <v>0</v>
      </c>
      <c r="S48" s="44">
        <v>0</v>
      </c>
      <c r="T48" s="70">
        <v>0</v>
      </c>
    </row>
    <row r="49" spans="1:20" s="6" customFormat="1" ht="41.25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65" t="s">
        <v>37</v>
      </c>
      <c r="F49" s="7" t="s">
        <v>39</v>
      </c>
      <c r="G49" s="23" t="s">
        <v>109</v>
      </c>
      <c r="H49" s="7" t="s">
        <v>5</v>
      </c>
      <c r="I49" s="8">
        <v>10</v>
      </c>
      <c r="J49" s="44">
        <v>5000000</v>
      </c>
      <c r="K49" s="44"/>
      <c r="L49" s="44"/>
      <c r="M49" s="44">
        <f>J49+K49-L49</f>
        <v>5000000</v>
      </c>
      <c r="N49" s="44">
        <v>0</v>
      </c>
      <c r="O49" s="44">
        <v>0</v>
      </c>
      <c r="P49" s="27">
        <f t="shared" ref="P49:P85" si="27">+M49-O49-N49</f>
        <v>5000000</v>
      </c>
      <c r="Q49" s="9">
        <v>0</v>
      </c>
      <c r="R49" s="25">
        <f t="shared" si="14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213</v>
      </c>
      <c r="H50" s="7" t="s">
        <v>5</v>
      </c>
      <c r="I50" s="8">
        <v>10</v>
      </c>
      <c r="J50" s="44">
        <v>10689249</v>
      </c>
      <c r="K50" s="44"/>
      <c r="L50" s="44"/>
      <c r="M50" s="44">
        <f t="shared" ref="M50" si="28">J50+K50-L50</f>
        <v>10689249</v>
      </c>
      <c r="N50" s="44">
        <v>0</v>
      </c>
      <c r="O50" s="44">
        <v>2700000</v>
      </c>
      <c r="P50" s="27">
        <f>+M50-O50-N50</f>
        <v>7989249</v>
      </c>
      <c r="Q50" s="9">
        <v>2700000</v>
      </c>
      <c r="R50" s="25">
        <f t="shared" si="14"/>
        <v>0.25259024277570857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110</v>
      </c>
      <c r="H51" s="7" t="s">
        <v>5</v>
      </c>
      <c r="I51" s="8" t="s">
        <v>6</v>
      </c>
      <c r="J51" s="44">
        <v>662899534</v>
      </c>
      <c r="K51" s="44">
        <f>5367603.9+3281650+7000000+46000000+7827290</f>
        <v>69476543.900000006</v>
      </c>
      <c r="L51" s="44">
        <f>9933700+12473363.13+3586650</f>
        <v>25993713.130000003</v>
      </c>
      <c r="M51" s="44">
        <f t="shared" ref="M51:M85" si="29">J51+K51-L51</f>
        <v>706382364.76999998</v>
      </c>
      <c r="N51" s="9">
        <v>0</v>
      </c>
      <c r="O51" s="44">
        <v>467870832.14999998</v>
      </c>
      <c r="P51" s="27">
        <f>+M51-O51-N51</f>
        <v>238511532.62</v>
      </c>
      <c r="Q51" s="9">
        <v>436058272.14999998</v>
      </c>
      <c r="R51" s="25">
        <f t="shared" si="14"/>
        <v>0.61731194590621152</v>
      </c>
      <c r="S51" s="9">
        <v>58687890.899999999</v>
      </c>
      <c r="T51" s="10">
        <v>58687890.899999999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111</v>
      </c>
      <c r="H52" s="7" t="s">
        <v>5</v>
      </c>
      <c r="I52" s="8" t="s">
        <v>6</v>
      </c>
      <c r="J52" s="44">
        <v>10000</v>
      </c>
      <c r="K52" s="44">
        <f>1200000+2000000</f>
        <v>3200000</v>
      </c>
      <c r="L52" s="44"/>
      <c r="M52" s="44">
        <f t="shared" si="29"/>
        <v>3210000</v>
      </c>
      <c r="N52" s="9">
        <v>0</v>
      </c>
      <c r="O52" s="44">
        <v>3200000</v>
      </c>
      <c r="P52" s="27">
        <f t="shared" si="27"/>
        <v>10000</v>
      </c>
      <c r="Q52" s="9">
        <v>1200000</v>
      </c>
      <c r="R52" s="25">
        <f t="shared" si="14"/>
        <v>0.37383177570093457</v>
      </c>
      <c r="S52" s="9">
        <v>0</v>
      </c>
      <c r="T52" s="10">
        <v>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217</v>
      </c>
      <c r="H53" s="7" t="s">
        <v>5</v>
      </c>
      <c r="I53" s="8">
        <v>10</v>
      </c>
      <c r="J53" s="44">
        <v>126215878</v>
      </c>
      <c r="K53" s="44">
        <f>900000+33000+68000000+1573500+60000000+614734</f>
        <v>131121234</v>
      </c>
      <c r="L53" s="44">
        <f>11423842+1419723+198802+961500</f>
        <v>14003867</v>
      </c>
      <c r="M53" s="44">
        <f>J53+K53-L53</f>
        <v>243333245</v>
      </c>
      <c r="N53" s="27">
        <v>0</v>
      </c>
      <c r="O53" s="44">
        <v>124795011</v>
      </c>
      <c r="P53" s="44">
        <f t="shared" si="27"/>
        <v>118538234</v>
      </c>
      <c r="Q53" s="9">
        <v>64795011</v>
      </c>
      <c r="R53" s="25">
        <f t="shared" si="14"/>
        <v>0.26628096378692523</v>
      </c>
      <c r="S53" s="9">
        <v>33681608</v>
      </c>
      <c r="T53" s="10">
        <v>33681608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112</v>
      </c>
      <c r="H54" s="7" t="s">
        <v>5</v>
      </c>
      <c r="I54" s="8" t="s">
        <v>6</v>
      </c>
      <c r="J54" s="44">
        <v>353285398</v>
      </c>
      <c r="K54" s="44">
        <f>900000+1500000+4740000+650400</f>
        <v>7790400</v>
      </c>
      <c r="L54" s="44">
        <f xml:space="preserve"> 983260</f>
        <v>983260</v>
      </c>
      <c r="M54" s="44">
        <f>J54+K54-L54</f>
        <v>360092538</v>
      </c>
      <c r="N54" s="27">
        <v>0</v>
      </c>
      <c r="O54" s="44">
        <v>243420279</v>
      </c>
      <c r="P54" s="27">
        <f t="shared" si="27"/>
        <v>116672259</v>
      </c>
      <c r="Q54" s="9">
        <v>231920279</v>
      </c>
      <c r="R54" s="25">
        <f t="shared" si="14"/>
        <v>0.64405744225669015</v>
      </c>
      <c r="S54" s="9">
        <v>112839574.06</v>
      </c>
      <c r="T54" s="10">
        <v>102083986.87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113</v>
      </c>
      <c r="H55" s="7" t="s">
        <v>5</v>
      </c>
      <c r="I55" s="8" t="s">
        <v>6</v>
      </c>
      <c r="J55" s="44">
        <v>329921413</v>
      </c>
      <c r="K55" s="44">
        <f>9781546+1100000+1500000+5000000+25000000+11011000+7460860+1365600</f>
        <v>62219006</v>
      </c>
      <c r="L55" s="44">
        <f>6250072+8248057+10658867</f>
        <v>25156996</v>
      </c>
      <c r="M55" s="44">
        <f t="shared" si="29"/>
        <v>366983423</v>
      </c>
      <c r="N55" s="27">
        <v>0</v>
      </c>
      <c r="O55" s="44">
        <v>338220696.05000001</v>
      </c>
      <c r="P55" s="44">
        <f t="shared" si="27"/>
        <v>28762726.949999988</v>
      </c>
      <c r="Q55" s="9">
        <v>319209696.05000001</v>
      </c>
      <c r="R55" s="25">
        <f t="shared" si="14"/>
        <v>0.86982047701375331</v>
      </c>
      <c r="S55" s="9">
        <v>32777947.359999999</v>
      </c>
      <c r="T55" s="10">
        <v>32777947.359999999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114</v>
      </c>
      <c r="H56" s="7" t="s">
        <v>5</v>
      </c>
      <c r="I56" s="8" t="s">
        <v>6</v>
      </c>
      <c r="J56" s="44">
        <v>90459640</v>
      </c>
      <c r="K56" s="44">
        <f>685420+3400000+9000000+71669518+415650+126000+15915866</f>
        <v>101212454</v>
      </c>
      <c r="L56" s="44">
        <f>25000000+28720+89119679</f>
        <v>114148399</v>
      </c>
      <c r="M56" s="44">
        <f t="shared" si="29"/>
        <v>77523695</v>
      </c>
      <c r="N56" s="27">
        <v>0</v>
      </c>
      <c r="O56" s="44">
        <v>20077243</v>
      </c>
      <c r="P56" s="44">
        <f t="shared" si="27"/>
        <v>57446452</v>
      </c>
      <c r="Q56" s="9">
        <v>6577243</v>
      </c>
      <c r="R56" s="25">
        <f t="shared" si="14"/>
        <v>8.4841711943683798E-2</v>
      </c>
      <c r="S56" s="9">
        <v>1152008</v>
      </c>
      <c r="T56" s="10">
        <v>1152008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115</v>
      </c>
      <c r="H57" s="7" t="s">
        <v>5</v>
      </c>
      <c r="I57" s="8" t="s">
        <v>6</v>
      </c>
      <c r="J57" s="44">
        <v>336036763</v>
      </c>
      <c r="K57" s="44">
        <f>6471822+50000000+13620000+1411324+64000000+500000+99478792.28+120230208+912870+27729287+16533960+2843600+2616000+6000000+21732488</f>
        <v>434080351.27999997</v>
      </c>
      <c r="L57" s="44">
        <f>20577512+2769584+6765305+2983330</f>
        <v>33095731</v>
      </c>
      <c r="M57" s="44">
        <f t="shared" si="29"/>
        <v>737021383.27999997</v>
      </c>
      <c r="N57" s="9">
        <v>0</v>
      </c>
      <c r="O57" s="44">
        <v>378200898.80000001</v>
      </c>
      <c r="P57" s="44">
        <f t="shared" si="27"/>
        <v>358820484.47999996</v>
      </c>
      <c r="Q57" s="9">
        <v>160689451</v>
      </c>
      <c r="R57" s="25">
        <f t="shared" si="14"/>
        <v>0.21802549375823588</v>
      </c>
      <c r="S57" s="9">
        <v>56426568</v>
      </c>
      <c r="T57" s="10">
        <v>56426568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116</v>
      </c>
      <c r="H58" s="7" t="s">
        <v>5</v>
      </c>
      <c r="I58" s="63" t="s">
        <v>6</v>
      </c>
      <c r="J58" s="44">
        <v>4200000</v>
      </c>
      <c r="K58" s="44">
        <f>660637+3920858+67583193+4000000</f>
        <v>76164688</v>
      </c>
      <c r="L58" s="44">
        <f>600000</f>
        <v>600000</v>
      </c>
      <c r="M58" s="44">
        <f>J58+K58-L58</f>
        <v>79764688</v>
      </c>
      <c r="N58" s="9">
        <v>0</v>
      </c>
      <c r="O58" s="44">
        <v>8121565</v>
      </c>
      <c r="P58" s="27">
        <f t="shared" si="27"/>
        <v>71643123</v>
      </c>
      <c r="Q58" s="9">
        <v>721565</v>
      </c>
      <c r="R58" s="25">
        <f t="shared" si="14"/>
        <v>9.046170907106162E-3</v>
      </c>
      <c r="S58" s="9">
        <v>0</v>
      </c>
      <c r="T58" s="10">
        <v>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117</v>
      </c>
      <c r="H59" s="7" t="s">
        <v>5</v>
      </c>
      <c r="I59" s="8" t="s">
        <v>6</v>
      </c>
      <c r="J59" s="44">
        <v>282668220</v>
      </c>
      <c r="K59" s="44">
        <f>3830280+600000+515566+2113061+685000</f>
        <v>7743907</v>
      </c>
      <c r="L59" s="44">
        <f>1100000</f>
        <v>1100000</v>
      </c>
      <c r="M59" s="44">
        <f>J59+K59-L59</f>
        <v>289312127</v>
      </c>
      <c r="N59" s="9">
        <v>0</v>
      </c>
      <c r="O59" s="44">
        <v>13979233</v>
      </c>
      <c r="P59" s="27">
        <f>+M59-O59-N59</f>
        <v>275332894</v>
      </c>
      <c r="Q59" s="9">
        <v>8079233</v>
      </c>
      <c r="R59" s="25">
        <f t="shared" si="14"/>
        <v>2.7925663136823851E-2</v>
      </c>
      <c r="S59" s="9">
        <v>4037016</v>
      </c>
      <c r="T59" s="10">
        <v>4037016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118</v>
      </c>
      <c r="H60" s="7" t="s">
        <v>5</v>
      </c>
      <c r="I60" s="8" t="s">
        <v>6</v>
      </c>
      <c r="J60" s="44">
        <v>4200000</v>
      </c>
      <c r="K60" s="44">
        <f>1000000</f>
        <v>1000000</v>
      </c>
      <c r="L60" s="44">
        <v>4200000</v>
      </c>
      <c r="M60" s="44">
        <f>J60+K60-L60</f>
        <v>1000000</v>
      </c>
      <c r="N60" s="9">
        <v>0</v>
      </c>
      <c r="O60" s="44">
        <v>1000000</v>
      </c>
      <c r="P60" s="27">
        <f t="shared" si="27"/>
        <v>0</v>
      </c>
      <c r="Q60" s="9">
        <v>1000000</v>
      </c>
      <c r="R60" s="25">
        <f t="shared" si="14"/>
        <v>1</v>
      </c>
      <c r="S60" s="9">
        <v>162600</v>
      </c>
      <c r="T60" s="10">
        <v>162600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119</v>
      </c>
      <c r="H61" s="7" t="s">
        <v>5</v>
      </c>
      <c r="I61" s="8" t="s">
        <v>6</v>
      </c>
      <c r="J61" s="44">
        <v>102299498</v>
      </c>
      <c r="K61" s="44">
        <f>388320+4816875+1600000+554842+2400000+26611424+16188680+93837314+38659368+6500000</f>
        <v>191556823</v>
      </c>
      <c r="L61" s="44">
        <f>655801+2789620</f>
        <v>3445421</v>
      </c>
      <c r="M61" s="44">
        <f t="shared" si="29"/>
        <v>290410900</v>
      </c>
      <c r="N61" s="9">
        <v>0</v>
      </c>
      <c r="O61" s="44">
        <v>75866592</v>
      </c>
      <c r="P61" s="27">
        <f t="shared" si="27"/>
        <v>214544308</v>
      </c>
      <c r="Q61" s="9">
        <v>14267269</v>
      </c>
      <c r="R61" s="25">
        <f t="shared" si="14"/>
        <v>4.912787020046424E-2</v>
      </c>
      <c r="S61" s="9">
        <v>1491401</v>
      </c>
      <c r="T61" s="10">
        <v>1491401</v>
      </c>
    </row>
    <row r="62" spans="1:20" s="6" customFormat="1" ht="16.5" x14ac:dyDescent="0.25">
      <c r="A62" s="91" t="s">
        <v>3</v>
      </c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107</v>
      </c>
      <c r="H62" s="7" t="s">
        <v>5</v>
      </c>
      <c r="I62" s="8" t="s">
        <v>6</v>
      </c>
      <c r="J62" s="44"/>
      <c r="K62" s="44">
        <f>1600000+936058</f>
        <v>2536058</v>
      </c>
      <c r="L62" s="44">
        <f>1600000</f>
        <v>1600000</v>
      </c>
      <c r="M62" s="44">
        <f t="shared" si="29"/>
        <v>936058</v>
      </c>
      <c r="N62" s="9">
        <v>0</v>
      </c>
      <c r="O62" s="44">
        <v>0</v>
      </c>
      <c r="P62" s="27">
        <f t="shared" si="27"/>
        <v>936058</v>
      </c>
      <c r="Q62" s="9">
        <v>0</v>
      </c>
      <c r="R62" s="25">
        <f t="shared" si="14"/>
        <v>0</v>
      </c>
      <c r="S62" s="9">
        <v>0</v>
      </c>
      <c r="T62" s="10">
        <v>0</v>
      </c>
    </row>
    <row r="63" spans="1:20" s="6" customFormat="1" ht="16.5" x14ac:dyDescent="0.25">
      <c r="A63" s="91" t="s">
        <v>3</v>
      </c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108</v>
      </c>
      <c r="H63" s="7" t="s">
        <v>5</v>
      </c>
      <c r="I63" s="8" t="s">
        <v>6</v>
      </c>
      <c r="J63" s="44"/>
      <c r="K63" s="44">
        <f>2295000+197248+35355649</f>
        <v>37847897</v>
      </c>
      <c r="L63" s="44">
        <f>98624</f>
        <v>98624</v>
      </c>
      <c r="M63" s="44">
        <f t="shared" ref="M63" si="30">J63+K63-L63</f>
        <v>37749273</v>
      </c>
      <c r="N63" s="9">
        <v>0</v>
      </c>
      <c r="O63" s="44">
        <v>0</v>
      </c>
      <c r="P63" s="27">
        <f t="shared" ref="P63" si="31">+M63-O63-N63</f>
        <v>37749273</v>
      </c>
      <c r="Q63" s="9">
        <v>0</v>
      </c>
      <c r="R63" s="25">
        <f t="shared" ref="R63" si="32">IF(Q63&gt;1,Q63/(M63),0)</f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120</v>
      </c>
      <c r="H64" s="7" t="s">
        <v>5</v>
      </c>
      <c r="I64" s="8" t="s">
        <v>6</v>
      </c>
      <c r="J64" s="44">
        <v>4615110</v>
      </c>
      <c r="K64" s="44">
        <f>983880+370549</f>
        <v>1354429</v>
      </c>
      <c r="L64" s="44"/>
      <c r="M64" s="44">
        <f>J64+K64-L64</f>
        <v>5969539</v>
      </c>
      <c r="N64" s="9">
        <v>0</v>
      </c>
      <c r="O64" s="44">
        <v>3483880</v>
      </c>
      <c r="P64" s="27">
        <f t="shared" si="27"/>
        <v>2485659</v>
      </c>
      <c r="Q64" s="9">
        <v>983880</v>
      </c>
      <c r="R64" s="25">
        <f t="shared" si="14"/>
        <v>0.1648167471558524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121</v>
      </c>
      <c r="H65" s="7" t="s">
        <v>5</v>
      </c>
      <c r="I65" s="8" t="s">
        <v>6</v>
      </c>
      <c r="J65" s="44">
        <v>32000000</v>
      </c>
      <c r="K65" s="44">
        <f>10739512+9409250+639000+2873092+5102333+38240462+6000000</f>
        <v>73003649</v>
      </c>
      <c r="L65" s="44">
        <f>1436546+1598160+291266</f>
        <v>3325972</v>
      </c>
      <c r="M65" s="44">
        <f t="shared" si="29"/>
        <v>101677677</v>
      </c>
      <c r="N65" s="9">
        <v>0</v>
      </c>
      <c r="O65" s="44">
        <v>48973287.200000003</v>
      </c>
      <c r="P65" s="27">
        <f t="shared" si="27"/>
        <v>52704389.799999997</v>
      </c>
      <c r="Q65" s="9">
        <v>17870955</v>
      </c>
      <c r="R65" s="25">
        <f t="shared" si="14"/>
        <v>0.17576085063391053</v>
      </c>
      <c r="S65" s="9">
        <v>0</v>
      </c>
      <c r="T65" s="10">
        <v>0</v>
      </c>
    </row>
    <row r="66" spans="1:20" s="6" customFormat="1" ht="24.75" x14ac:dyDescent="0.25">
      <c r="A66" s="91" t="s">
        <v>3</v>
      </c>
      <c r="B66" s="7" t="s">
        <v>50</v>
      </c>
      <c r="C66" s="65" t="s">
        <v>50</v>
      </c>
      <c r="D66" s="7" t="s">
        <v>34</v>
      </c>
      <c r="E66" s="7" t="s">
        <v>40</v>
      </c>
      <c r="F66" s="7" t="s">
        <v>45</v>
      </c>
      <c r="G66" s="23" t="s">
        <v>123</v>
      </c>
      <c r="H66" s="7" t="s">
        <v>5</v>
      </c>
      <c r="I66" s="8" t="s">
        <v>6</v>
      </c>
      <c r="J66" s="44">
        <v>10100000</v>
      </c>
      <c r="K66" s="44">
        <f>48000+26180+651840+17687251</f>
        <v>18413271</v>
      </c>
      <c r="L66" s="44">
        <f>10000000</f>
        <v>10000000</v>
      </c>
      <c r="M66" s="44">
        <f t="shared" si="29"/>
        <v>18513271</v>
      </c>
      <c r="N66" s="9">
        <v>0</v>
      </c>
      <c r="O66" s="44">
        <v>802354</v>
      </c>
      <c r="P66" s="27">
        <f>+M66-O66-N66</f>
        <v>17710917</v>
      </c>
      <c r="Q66" s="9">
        <v>702354</v>
      </c>
      <c r="R66" s="25">
        <f t="shared" si="14"/>
        <v>3.7937866301422367E-2</v>
      </c>
      <c r="S66" s="9">
        <v>72354</v>
      </c>
      <c r="T66" s="10">
        <v>72354</v>
      </c>
    </row>
    <row r="67" spans="1:20" s="6" customFormat="1" x14ac:dyDescent="0.25">
      <c r="A67" s="91" t="s">
        <v>3</v>
      </c>
      <c r="B67" s="7" t="s">
        <v>50</v>
      </c>
      <c r="C67" s="7" t="s">
        <v>50</v>
      </c>
      <c r="D67" s="7" t="s">
        <v>50</v>
      </c>
      <c r="E67" s="7" t="s">
        <v>42</v>
      </c>
      <c r="F67" s="7" t="s">
        <v>40</v>
      </c>
      <c r="G67" s="23" t="s">
        <v>124</v>
      </c>
      <c r="H67" s="7" t="s">
        <v>5</v>
      </c>
      <c r="I67" s="8" t="s">
        <v>6</v>
      </c>
      <c r="J67" s="44">
        <v>15000000</v>
      </c>
      <c r="K67" s="44">
        <f>2603977.54+1075658299+670000000+1078267925+218500000</f>
        <v>3045030201.54</v>
      </c>
      <c r="L67" s="44"/>
      <c r="M67" s="44">
        <f t="shared" si="29"/>
        <v>3060030201.54</v>
      </c>
      <c r="N67" s="9">
        <v>0</v>
      </c>
      <c r="O67" s="44">
        <v>2603977.54</v>
      </c>
      <c r="P67" s="27">
        <f>+M67-O67-N67</f>
        <v>3057426224</v>
      </c>
      <c r="Q67" s="9">
        <v>2603977.54</v>
      </c>
      <c r="R67" s="25">
        <f t="shared" si="14"/>
        <v>8.5096465344999361E-4</v>
      </c>
      <c r="S67" s="9">
        <v>2603977.54</v>
      </c>
      <c r="T67" s="10">
        <v>2603977.54</v>
      </c>
    </row>
    <row r="68" spans="1:20" s="6" customFormat="1" ht="16.5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43</v>
      </c>
      <c r="F68" s="7" t="s">
        <v>40</v>
      </c>
      <c r="G68" s="23" t="s">
        <v>125</v>
      </c>
      <c r="H68" s="7" t="s">
        <v>5</v>
      </c>
      <c r="I68" s="8" t="s">
        <v>6</v>
      </c>
      <c r="J68" s="44">
        <v>943654750</v>
      </c>
      <c r="K68" s="44"/>
      <c r="L68" s="44"/>
      <c r="M68" s="44">
        <f t="shared" si="29"/>
        <v>943654750</v>
      </c>
      <c r="N68" s="9">
        <v>0</v>
      </c>
      <c r="O68" s="44">
        <v>928654750</v>
      </c>
      <c r="P68" s="27">
        <f t="shared" si="27"/>
        <v>15000000</v>
      </c>
      <c r="Q68" s="9">
        <v>769241244</v>
      </c>
      <c r="R68" s="25">
        <f t="shared" si="14"/>
        <v>0.81517233288975655</v>
      </c>
      <c r="S68" s="9">
        <v>253346466</v>
      </c>
      <c r="T68" s="10">
        <v>252345166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42</v>
      </c>
      <c r="G69" s="23" t="s">
        <v>126</v>
      </c>
      <c r="H69" s="7" t="s">
        <v>5</v>
      </c>
      <c r="I69" s="8" t="s">
        <v>6</v>
      </c>
      <c r="J69" s="44">
        <v>241200000</v>
      </c>
      <c r="K69" s="44"/>
      <c r="L69" s="44"/>
      <c r="M69" s="44">
        <f t="shared" si="29"/>
        <v>241200000</v>
      </c>
      <c r="N69" s="9">
        <v>0</v>
      </c>
      <c r="O69" s="44">
        <v>241200000</v>
      </c>
      <c r="P69" s="27">
        <f t="shared" si="27"/>
        <v>0</v>
      </c>
      <c r="Q69" s="9">
        <v>241200000</v>
      </c>
      <c r="R69" s="25">
        <f t="shared" si="14"/>
        <v>1</v>
      </c>
      <c r="S69" s="9">
        <v>21606357</v>
      </c>
      <c r="T69" s="10">
        <v>21606357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45</v>
      </c>
      <c r="G70" s="23" t="s">
        <v>127</v>
      </c>
      <c r="H70" s="7" t="s">
        <v>5</v>
      </c>
      <c r="I70" s="8" t="s">
        <v>6</v>
      </c>
      <c r="J70" s="44">
        <v>202620006</v>
      </c>
      <c r="K70" s="44"/>
      <c r="L70" s="44"/>
      <c r="M70" s="44">
        <f t="shared" si="29"/>
        <v>202620006</v>
      </c>
      <c r="N70" s="9">
        <v>0</v>
      </c>
      <c r="O70" s="44">
        <v>202620000</v>
      </c>
      <c r="P70" s="27">
        <f t="shared" si="27"/>
        <v>6</v>
      </c>
      <c r="Q70" s="9">
        <v>202620000</v>
      </c>
      <c r="R70" s="25">
        <f t="shared" si="14"/>
        <v>0.9999999703879191</v>
      </c>
      <c r="S70" s="9">
        <v>46215983</v>
      </c>
      <c r="T70" s="10">
        <v>46215983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7" t="s">
        <v>46</v>
      </c>
      <c r="G71" s="23" t="s">
        <v>128</v>
      </c>
      <c r="H71" s="7" t="s">
        <v>5</v>
      </c>
      <c r="I71" s="8" t="s">
        <v>6</v>
      </c>
      <c r="J71" s="44">
        <v>5734282670</v>
      </c>
      <c r="K71" s="44">
        <f>44585939</f>
        <v>44585939</v>
      </c>
      <c r="L71" s="44">
        <f>2500000+30000000+1100000+11011000+817800</f>
        <v>45428800</v>
      </c>
      <c r="M71" s="44">
        <f t="shared" si="29"/>
        <v>5733439809</v>
      </c>
      <c r="N71" s="9">
        <v>0</v>
      </c>
      <c r="O71" s="44">
        <v>2503174418.77</v>
      </c>
      <c r="P71" s="27">
        <f t="shared" si="27"/>
        <v>3230265390.23</v>
      </c>
      <c r="Q71" s="9">
        <v>2503174418.77</v>
      </c>
      <c r="R71" s="25">
        <f t="shared" si="14"/>
        <v>0.43659208122158555</v>
      </c>
      <c r="S71" s="9">
        <v>2503174418.77</v>
      </c>
      <c r="T71" s="10">
        <v>2502992018.77</v>
      </c>
    </row>
    <row r="72" spans="1:20" s="6" customFormat="1" ht="24.7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46</v>
      </c>
      <c r="G72" s="23" t="s">
        <v>128</v>
      </c>
      <c r="H72" s="7" t="s">
        <v>8</v>
      </c>
      <c r="I72" s="8" t="s">
        <v>9</v>
      </c>
      <c r="J72" s="44">
        <v>950000000</v>
      </c>
      <c r="K72" s="44"/>
      <c r="L72" s="44">
        <v>50000000</v>
      </c>
      <c r="M72" s="44">
        <f t="shared" si="29"/>
        <v>900000000</v>
      </c>
      <c r="N72" s="9">
        <v>0</v>
      </c>
      <c r="O72" s="44">
        <v>53002559.939999998</v>
      </c>
      <c r="P72" s="27">
        <f t="shared" si="27"/>
        <v>846997440.05999994</v>
      </c>
      <c r="Q72" s="9">
        <v>53002559.939999998</v>
      </c>
      <c r="R72" s="25">
        <f t="shared" si="14"/>
        <v>5.8891733266666663E-2</v>
      </c>
      <c r="S72" s="9">
        <v>53002559.939999998</v>
      </c>
      <c r="T72" s="10">
        <v>48526342.939999998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128</v>
      </c>
      <c r="H73" s="7" t="s">
        <v>8</v>
      </c>
      <c r="I73" s="8">
        <v>21</v>
      </c>
      <c r="J73" s="44">
        <v>475113000</v>
      </c>
      <c r="K73" s="44"/>
      <c r="L73" s="44"/>
      <c r="M73" s="44">
        <f t="shared" si="29"/>
        <v>475113000</v>
      </c>
      <c r="N73" s="9">
        <v>0</v>
      </c>
      <c r="O73" s="44">
        <v>111847545</v>
      </c>
      <c r="P73" s="27">
        <f t="shared" si="27"/>
        <v>363265455</v>
      </c>
      <c r="Q73" s="9">
        <v>111847545</v>
      </c>
      <c r="R73" s="25">
        <f t="shared" si="14"/>
        <v>0.2354125123917889</v>
      </c>
      <c r="S73" s="9">
        <v>52988377</v>
      </c>
      <c r="T73" s="10">
        <v>0</v>
      </c>
    </row>
    <row r="74" spans="1:20" s="6" customFormat="1" ht="16.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44</v>
      </c>
      <c r="F74" s="7" t="s">
        <v>35</v>
      </c>
      <c r="G74" s="23" t="s">
        <v>129</v>
      </c>
      <c r="H74" s="7" t="s">
        <v>5</v>
      </c>
      <c r="I74" s="8" t="s">
        <v>6</v>
      </c>
      <c r="J74" s="44">
        <v>5439474317</v>
      </c>
      <c r="K74" s="44"/>
      <c r="L74" s="44"/>
      <c r="M74" s="44">
        <f t="shared" si="29"/>
        <v>5439474317</v>
      </c>
      <c r="N74" s="9">
        <v>0</v>
      </c>
      <c r="O74" s="44">
        <v>5391570492.4799995</v>
      </c>
      <c r="P74" s="27">
        <f t="shared" si="27"/>
        <v>47903824.520000458</v>
      </c>
      <c r="Q74" s="9">
        <v>5287544692.4799995</v>
      </c>
      <c r="R74" s="25">
        <f t="shared" si="14"/>
        <v>0.9720690611507854</v>
      </c>
      <c r="S74" s="9">
        <v>5287544692</v>
      </c>
      <c r="T74" s="10">
        <v>5287544692</v>
      </c>
    </row>
    <row r="75" spans="1:20" s="6" customFormat="1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44</v>
      </c>
      <c r="F75" s="65" t="s">
        <v>37</v>
      </c>
      <c r="G75" s="23" t="s">
        <v>130</v>
      </c>
      <c r="H75" s="7" t="s">
        <v>5</v>
      </c>
      <c r="I75" s="8" t="s">
        <v>6</v>
      </c>
      <c r="J75" s="44">
        <v>2697677288</v>
      </c>
      <c r="K75" s="44"/>
      <c r="L75" s="44">
        <v>4543116</v>
      </c>
      <c r="M75" s="44">
        <f t="shared" si="29"/>
        <v>2693134172</v>
      </c>
      <c r="N75" s="9">
        <v>0</v>
      </c>
      <c r="O75" s="44">
        <v>2668575073</v>
      </c>
      <c r="P75" s="27">
        <f t="shared" si="27"/>
        <v>24559099</v>
      </c>
      <c r="Q75" s="9">
        <v>2668575073</v>
      </c>
      <c r="R75" s="25">
        <f t="shared" si="14"/>
        <v>0.99088084832336376</v>
      </c>
      <c r="S75" s="9">
        <v>1291484613</v>
      </c>
      <c r="T75" s="10">
        <v>1272563450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45</v>
      </c>
      <c r="F76" s="7" t="s">
        <v>37</v>
      </c>
      <c r="G76" s="107" t="s">
        <v>131</v>
      </c>
      <c r="H76" s="7" t="s">
        <v>5</v>
      </c>
      <c r="I76" s="8" t="s">
        <v>6</v>
      </c>
      <c r="J76" s="44">
        <v>70000</v>
      </c>
      <c r="K76" s="44">
        <f>98400000+500000</f>
        <v>98900000</v>
      </c>
      <c r="L76" s="44"/>
      <c r="M76" s="44">
        <f t="shared" si="29"/>
        <v>98970000</v>
      </c>
      <c r="N76" s="9"/>
      <c r="O76" s="44">
        <v>96364200</v>
      </c>
      <c r="P76" s="27">
        <f t="shared" si="27"/>
        <v>2605800</v>
      </c>
      <c r="Q76" s="9">
        <v>96364200</v>
      </c>
      <c r="R76" s="25">
        <f t="shared" si="14"/>
        <v>0.97367080933616246</v>
      </c>
      <c r="S76" s="9">
        <v>33364200</v>
      </c>
      <c r="T76" s="10">
        <v>33364200</v>
      </c>
    </row>
    <row r="77" spans="1:20" s="6" customFormat="1" ht="41.25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45</v>
      </c>
      <c r="F77" s="7" t="s">
        <v>39</v>
      </c>
      <c r="G77" s="23" t="s">
        <v>142</v>
      </c>
      <c r="H77" s="7" t="s">
        <v>5</v>
      </c>
      <c r="I77" s="8" t="s">
        <v>6</v>
      </c>
      <c r="J77" s="44">
        <v>6395104796</v>
      </c>
      <c r="K77" s="44">
        <f>2500000+13808036+1850674+1347784+666729</f>
        <v>20173223</v>
      </c>
      <c r="L77" s="44">
        <f>8701011.61+102410000+98400000+11923800+46000000+412350191+1155658299+1311507044+4261856</f>
        <v>3151212201.6100001</v>
      </c>
      <c r="M77" s="44">
        <f>J77+K77-L77</f>
        <v>3264065817.3899999</v>
      </c>
      <c r="N77" s="108">
        <v>0</v>
      </c>
      <c r="O77" s="44">
        <v>2838865526</v>
      </c>
      <c r="P77" s="27">
        <f t="shared" si="27"/>
        <v>425200291.38999987</v>
      </c>
      <c r="Q77" s="9">
        <v>2829365526</v>
      </c>
      <c r="R77" s="25">
        <f t="shared" si="14"/>
        <v>0.86682244914485418</v>
      </c>
      <c r="S77" s="9">
        <v>2581273129</v>
      </c>
      <c r="T77" s="10">
        <v>2581273129</v>
      </c>
    </row>
    <row r="78" spans="1:20" s="6" customFormat="1" ht="33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7" t="s">
        <v>45</v>
      </c>
      <c r="F78" s="7" t="s">
        <v>40</v>
      </c>
      <c r="G78" s="23" t="s">
        <v>132</v>
      </c>
      <c r="H78" s="7" t="s">
        <v>5</v>
      </c>
      <c r="I78" s="8" t="s">
        <v>6</v>
      </c>
      <c r="J78" s="44">
        <v>200840908</v>
      </c>
      <c r="K78" s="44">
        <f>30000000</f>
        <v>30000000</v>
      </c>
      <c r="L78" s="44">
        <v>0</v>
      </c>
      <c r="M78" s="44">
        <f t="shared" si="29"/>
        <v>230840908</v>
      </c>
      <c r="N78" s="9">
        <v>0</v>
      </c>
      <c r="O78" s="44">
        <v>85453467.269999996</v>
      </c>
      <c r="P78" s="27">
        <f t="shared" si="27"/>
        <v>145387440.73000002</v>
      </c>
      <c r="Q78" s="9">
        <v>85453467.269999996</v>
      </c>
      <c r="R78" s="25">
        <f t="shared" si="14"/>
        <v>0.37018337871899204</v>
      </c>
      <c r="S78" s="9">
        <v>85453467.269999996</v>
      </c>
      <c r="T78" s="10">
        <v>78575900.269999996</v>
      </c>
    </row>
    <row r="79" spans="1:20" s="6" customFormat="1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42</v>
      </c>
      <c r="G79" s="23" t="s">
        <v>133</v>
      </c>
      <c r="H79" s="7" t="s">
        <v>5</v>
      </c>
      <c r="I79" s="8" t="s">
        <v>6</v>
      </c>
      <c r="J79" s="44">
        <v>17226804360</v>
      </c>
      <c r="K79" s="44"/>
      <c r="L79" s="44">
        <v>31751709.149999999</v>
      </c>
      <c r="M79" s="44">
        <f>J79+K79-L79</f>
        <v>17195052650.849998</v>
      </c>
      <c r="N79" s="9">
        <v>0</v>
      </c>
      <c r="O79" s="44">
        <v>16698472322.84</v>
      </c>
      <c r="P79" s="27">
        <f t="shared" si="27"/>
        <v>496580328.00999832</v>
      </c>
      <c r="Q79" s="9">
        <v>16698472322.84</v>
      </c>
      <c r="R79" s="25">
        <f t="shared" si="14"/>
        <v>0.97112074396669845</v>
      </c>
      <c r="S79" s="9">
        <v>6759073330</v>
      </c>
      <c r="T79" s="10">
        <v>6759073330</v>
      </c>
    </row>
    <row r="80" spans="1:20" s="6" customFormat="1" ht="33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44</v>
      </c>
      <c r="G80" s="23" t="s">
        <v>134</v>
      </c>
      <c r="H80" s="7" t="s">
        <v>5</v>
      </c>
      <c r="I80" s="63" t="s">
        <v>6</v>
      </c>
      <c r="J80" s="44">
        <v>4204679271</v>
      </c>
      <c r="K80" s="44">
        <f>729430.17+1076970+817800+80000000+4236096</f>
        <v>86860296.170000002</v>
      </c>
      <c r="L80" s="44">
        <f>8520080+496000000+38200548+1769586+2043349+64000000+1850674+406500000+29302787+120000000+4425865+4710000+670000000+20921616+218500000+10500000+666729+6500000+1956000</f>
        <v>2106367234</v>
      </c>
      <c r="M80" s="44">
        <f>J80+K80-L80</f>
        <v>2185172333.1700001</v>
      </c>
      <c r="N80" s="9">
        <v>0</v>
      </c>
      <c r="O80" s="44">
        <v>546022873.16999996</v>
      </c>
      <c r="P80" s="27">
        <f t="shared" si="27"/>
        <v>1639149460</v>
      </c>
      <c r="Q80" s="9">
        <v>184057716.16999999</v>
      </c>
      <c r="R80" s="25">
        <f t="shared" si="14"/>
        <v>8.4230297709741705E-2</v>
      </c>
      <c r="S80" s="9">
        <v>109590649.17</v>
      </c>
      <c r="T80" s="10">
        <v>109590649.17</v>
      </c>
    </row>
    <row r="81" spans="1:259" s="6" customFormat="1" ht="24.75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46</v>
      </c>
      <c r="F81" s="7" t="s">
        <v>39</v>
      </c>
      <c r="G81" s="23" t="s">
        <v>135</v>
      </c>
      <c r="H81" s="7" t="s">
        <v>5</v>
      </c>
      <c r="I81" s="8" t="s">
        <v>6</v>
      </c>
      <c r="J81" s="44">
        <v>441869750</v>
      </c>
      <c r="K81" s="44">
        <f>14306802+50000000+5860016</f>
        <v>70166818</v>
      </c>
      <c r="L81" s="44">
        <f>49570107</f>
        <v>49570107</v>
      </c>
      <c r="M81" s="44">
        <f>J81+K81-L81</f>
        <v>462466461</v>
      </c>
      <c r="N81" s="9">
        <v>0</v>
      </c>
      <c r="O81" s="44">
        <v>148229766</v>
      </c>
      <c r="P81" s="27">
        <f t="shared" si="27"/>
        <v>314236695</v>
      </c>
      <c r="Q81" s="9">
        <v>0</v>
      </c>
      <c r="R81" s="25">
        <f t="shared" si="14"/>
        <v>0</v>
      </c>
      <c r="S81" s="9">
        <v>0</v>
      </c>
      <c r="T81" s="10">
        <v>0</v>
      </c>
    </row>
    <row r="82" spans="1:259" s="6" customFormat="1" ht="41.25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46</v>
      </c>
      <c r="F82" s="7" t="s">
        <v>40</v>
      </c>
      <c r="G82" s="23" t="s">
        <v>136</v>
      </c>
      <c r="H82" s="7" t="s">
        <v>5</v>
      </c>
      <c r="I82" s="8" t="s">
        <v>6</v>
      </c>
      <c r="J82" s="44">
        <v>815493307</v>
      </c>
      <c r="K82" s="44"/>
      <c r="L82" s="44">
        <f>98200598</f>
        <v>98200598</v>
      </c>
      <c r="M82" s="44">
        <f t="shared" si="29"/>
        <v>717292709</v>
      </c>
      <c r="N82" s="9">
        <v>0</v>
      </c>
      <c r="O82" s="44">
        <v>472155294.18000001</v>
      </c>
      <c r="P82" s="27">
        <f t="shared" si="27"/>
        <v>245137414.81999999</v>
      </c>
      <c r="Q82" s="9">
        <v>472155294.18000001</v>
      </c>
      <c r="R82" s="25">
        <f t="shared" si="14"/>
        <v>0.6582463313174427</v>
      </c>
      <c r="S82" s="9">
        <v>288433494.67000002</v>
      </c>
      <c r="T82" s="10">
        <v>286711713.67000002</v>
      </c>
    </row>
    <row r="83" spans="1:259" s="6" customFormat="1" ht="16.5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46</v>
      </c>
      <c r="F83" s="65" t="s">
        <v>43</v>
      </c>
      <c r="G83" s="23" t="s">
        <v>143</v>
      </c>
      <c r="H83" s="7" t="s">
        <v>5</v>
      </c>
      <c r="I83" s="8" t="s">
        <v>6</v>
      </c>
      <c r="J83" s="44">
        <v>786597200</v>
      </c>
      <c r="K83" s="44">
        <f>1514800+1956000</f>
        <v>3470800</v>
      </c>
      <c r="L83" s="44"/>
      <c r="M83" s="44">
        <f>J83+K83-L83</f>
        <v>790068000</v>
      </c>
      <c r="N83" s="9">
        <v>0</v>
      </c>
      <c r="O83" s="44">
        <v>633065000</v>
      </c>
      <c r="P83" s="27">
        <f t="shared" si="27"/>
        <v>157003000</v>
      </c>
      <c r="Q83" s="9">
        <v>517480000</v>
      </c>
      <c r="R83" s="25">
        <f t="shared" si="14"/>
        <v>0.65498159652080579</v>
      </c>
      <c r="S83" s="9">
        <v>38911399</v>
      </c>
      <c r="T83" s="10">
        <v>38911399</v>
      </c>
      <c r="BD83" s="6">
        <v>408287880</v>
      </c>
      <c r="BE83" s="6">
        <v>408287880</v>
      </c>
      <c r="BF83" s="6">
        <v>408287880</v>
      </c>
      <c r="BG83" s="6">
        <v>408287880</v>
      </c>
      <c r="BH83" s="6">
        <v>408287880</v>
      </c>
      <c r="BI83" s="6">
        <v>408287880</v>
      </c>
      <c r="BJ83" s="6">
        <v>408287880</v>
      </c>
      <c r="BK83" s="6">
        <v>408287880</v>
      </c>
      <c r="BL83" s="6">
        <v>408287880</v>
      </c>
      <c r="BM83" s="6">
        <v>408287880</v>
      </c>
      <c r="BN83" s="6">
        <v>408287880</v>
      </c>
      <c r="BO83" s="6">
        <v>408287880</v>
      </c>
      <c r="BP83" s="6">
        <v>408287880</v>
      </c>
      <c r="BQ83" s="6">
        <v>408287880</v>
      </c>
      <c r="BR83" s="6">
        <v>408287880</v>
      </c>
      <c r="BS83" s="6">
        <v>408287880</v>
      </c>
      <c r="BT83" s="6">
        <v>408287880</v>
      </c>
      <c r="BU83" s="6">
        <v>408287880</v>
      </c>
      <c r="BV83" s="6">
        <v>408287880</v>
      </c>
      <c r="BW83" s="6">
        <v>408287880</v>
      </c>
      <c r="BX83" s="6">
        <v>408287880</v>
      </c>
      <c r="BY83" s="6">
        <v>408287880</v>
      </c>
      <c r="BZ83" s="6">
        <v>408287880</v>
      </c>
      <c r="CA83" s="6">
        <v>408287880</v>
      </c>
      <c r="CB83" s="6">
        <v>408287880</v>
      </c>
      <c r="CC83" s="6">
        <v>408287880</v>
      </c>
      <c r="CD83" s="6">
        <v>408287880</v>
      </c>
      <c r="CE83" s="6">
        <v>408287880</v>
      </c>
      <c r="CF83" s="6">
        <v>408287880</v>
      </c>
      <c r="CG83" s="6">
        <v>408287880</v>
      </c>
      <c r="CH83" s="6">
        <v>408287880</v>
      </c>
      <c r="CI83" s="6">
        <v>408287880</v>
      </c>
      <c r="CJ83" s="6">
        <v>408287880</v>
      </c>
      <c r="CK83" s="6">
        <v>408287880</v>
      </c>
      <c r="CL83" s="6">
        <v>408287880</v>
      </c>
      <c r="CM83" s="6">
        <v>408287880</v>
      </c>
      <c r="CN83" s="6">
        <v>408287880</v>
      </c>
      <c r="CO83" s="6">
        <v>408287880</v>
      </c>
      <c r="CP83" s="6">
        <v>408287880</v>
      </c>
      <c r="CQ83" s="6">
        <v>408287880</v>
      </c>
      <c r="CR83" s="6">
        <v>408287880</v>
      </c>
      <c r="CS83" s="6">
        <v>408287880</v>
      </c>
      <c r="CT83" s="6">
        <v>408287880</v>
      </c>
      <c r="CU83" s="6">
        <v>408287880</v>
      </c>
      <c r="CV83" s="6">
        <v>408287880</v>
      </c>
      <c r="CW83" s="6">
        <v>408287880</v>
      </c>
      <c r="CX83" s="6">
        <v>408287880</v>
      </c>
      <c r="CY83" s="6">
        <v>408287880</v>
      </c>
      <c r="CZ83" s="6">
        <v>408287880</v>
      </c>
      <c r="DA83" s="6">
        <v>408287880</v>
      </c>
      <c r="DB83" s="6">
        <v>408287880</v>
      </c>
      <c r="DC83" s="6">
        <v>408287880</v>
      </c>
      <c r="DD83" s="6">
        <v>408287880</v>
      </c>
      <c r="DE83" s="6">
        <v>408287880</v>
      </c>
      <c r="DF83" s="6">
        <v>408287880</v>
      </c>
      <c r="DG83" s="6">
        <v>408287880</v>
      </c>
      <c r="DH83" s="6">
        <v>408287880</v>
      </c>
      <c r="DI83" s="6">
        <v>408287880</v>
      </c>
      <c r="DJ83" s="6">
        <v>408287880</v>
      </c>
      <c r="DK83" s="6">
        <v>408287880</v>
      </c>
      <c r="DL83" s="6">
        <v>408287880</v>
      </c>
      <c r="DM83" s="6">
        <v>408287880</v>
      </c>
      <c r="DN83" s="6">
        <v>408287880</v>
      </c>
      <c r="DO83" s="6">
        <v>408287880</v>
      </c>
      <c r="DP83" s="6">
        <v>408287880</v>
      </c>
      <c r="DQ83" s="6">
        <v>408287880</v>
      </c>
      <c r="DR83" s="6">
        <v>408287880</v>
      </c>
      <c r="DS83" s="6">
        <v>408287880</v>
      </c>
      <c r="DT83" s="6">
        <v>408287880</v>
      </c>
      <c r="DU83" s="6">
        <v>408287880</v>
      </c>
      <c r="DV83" s="6">
        <v>408287880</v>
      </c>
      <c r="DW83" s="6">
        <v>408287880</v>
      </c>
      <c r="DX83" s="6">
        <v>408287880</v>
      </c>
      <c r="DY83" s="6">
        <v>408287880</v>
      </c>
      <c r="DZ83" s="6">
        <v>408287880</v>
      </c>
      <c r="EA83" s="6">
        <v>408287880</v>
      </c>
      <c r="EB83" s="6">
        <v>408287880</v>
      </c>
      <c r="EC83" s="6">
        <v>408287880</v>
      </c>
      <c r="ED83" s="6">
        <v>408287880</v>
      </c>
      <c r="EE83" s="6">
        <v>408287880</v>
      </c>
      <c r="EF83" s="6">
        <v>408287880</v>
      </c>
      <c r="EG83" s="6">
        <v>408287880</v>
      </c>
      <c r="EH83" s="6">
        <v>408287880</v>
      </c>
      <c r="EI83" s="6">
        <v>408287880</v>
      </c>
      <c r="EJ83" s="6">
        <v>408287880</v>
      </c>
      <c r="EK83" s="6">
        <v>408287880</v>
      </c>
      <c r="EL83" s="6">
        <v>408287880</v>
      </c>
      <c r="EM83" s="6">
        <v>408287880</v>
      </c>
      <c r="EN83" s="6">
        <v>408287880</v>
      </c>
      <c r="EO83" s="6">
        <v>408287880</v>
      </c>
      <c r="EP83" s="6">
        <v>408287880</v>
      </c>
      <c r="EQ83" s="6">
        <v>408287880</v>
      </c>
      <c r="ER83" s="6">
        <v>408287880</v>
      </c>
      <c r="ES83" s="6">
        <v>408287880</v>
      </c>
      <c r="ET83" s="6">
        <v>408287880</v>
      </c>
      <c r="EU83" s="6">
        <v>408287880</v>
      </c>
      <c r="EV83" s="6">
        <v>408287880</v>
      </c>
      <c r="EW83" s="6">
        <v>408287880</v>
      </c>
      <c r="EX83" s="6">
        <v>408287880</v>
      </c>
      <c r="EY83" s="6">
        <v>408287880</v>
      </c>
      <c r="EZ83" s="6">
        <v>408287880</v>
      </c>
      <c r="FA83" s="6">
        <v>408287880</v>
      </c>
      <c r="FB83" s="6">
        <v>408287880</v>
      </c>
      <c r="FC83" s="6">
        <v>408287880</v>
      </c>
      <c r="FD83" s="6">
        <v>408287880</v>
      </c>
      <c r="FE83" s="6">
        <v>408287880</v>
      </c>
      <c r="FF83" s="6">
        <v>408287880</v>
      </c>
      <c r="FG83" s="6">
        <v>408287880</v>
      </c>
      <c r="FH83" s="6">
        <v>408287880</v>
      </c>
      <c r="FI83" s="6">
        <v>408287880</v>
      </c>
      <c r="FJ83" s="6">
        <v>408287880</v>
      </c>
      <c r="FK83" s="6">
        <v>408287880</v>
      </c>
      <c r="FL83" s="6">
        <v>408287880</v>
      </c>
      <c r="FM83" s="6">
        <v>408287880</v>
      </c>
      <c r="FN83" s="6">
        <v>408287880</v>
      </c>
      <c r="FO83" s="6">
        <v>408287880</v>
      </c>
      <c r="FP83" s="6">
        <v>408287880</v>
      </c>
      <c r="FQ83" s="6">
        <v>408287880</v>
      </c>
      <c r="FR83" s="6">
        <v>408287880</v>
      </c>
      <c r="FS83" s="6">
        <v>408287880</v>
      </c>
      <c r="FT83" s="6">
        <v>408287880</v>
      </c>
      <c r="FU83" s="6">
        <v>408287880</v>
      </c>
      <c r="FV83" s="6">
        <v>408287880</v>
      </c>
      <c r="FW83" s="6">
        <v>408287880</v>
      </c>
      <c r="FX83" s="6">
        <v>408287880</v>
      </c>
      <c r="FY83" s="6">
        <v>408287880</v>
      </c>
      <c r="FZ83" s="6">
        <v>408287880</v>
      </c>
      <c r="GA83" s="6">
        <v>408287880</v>
      </c>
      <c r="GB83" s="6">
        <v>408287880</v>
      </c>
      <c r="GC83" s="6">
        <v>408287880</v>
      </c>
      <c r="GD83" s="6">
        <v>408287880</v>
      </c>
      <c r="GE83" s="6">
        <v>408287880</v>
      </c>
      <c r="GF83" s="6">
        <v>408287880</v>
      </c>
      <c r="GG83" s="6">
        <v>408287880</v>
      </c>
      <c r="GH83" s="6">
        <v>408287880</v>
      </c>
      <c r="GI83" s="6">
        <v>408287880</v>
      </c>
      <c r="GJ83" s="6">
        <v>408287880</v>
      </c>
      <c r="GK83" s="6">
        <v>408287880</v>
      </c>
      <c r="GL83" s="6">
        <v>408287880</v>
      </c>
      <c r="GM83" s="6">
        <v>408287880</v>
      </c>
      <c r="GN83" s="6">
        <v>408287880</v>
      </c>
      <c r="GO83" s="6">
        <v>408287880</v>
      </c>
      <c r="GP83" s="6">
        <v>408287880</v>
      </c>
      <c r="GQ83" s="6">
        <v>408287880</v>
      </c>
      <c r="GR83" s="6">
        <v>408287880</v>
      </c>
      <c r="GS83" s="6">
        <v>408287880</v>
      </c>
      <c r="GT83" s="6">
        <v>408287880</v>
      </c>
      <c r="GU83" s="6">
        <v>408287880</v>
      </c>
      <c r="GV83" s="6">
        <v>408287880</v>
      </c>
      <c r="GW83" s="6">
        <v>408287880</v>
      </c>
      <c r="GX83" s="6">
        <v>408287880</v>
      </c>
      <c r="GY83" s="6">
        <v>408287880</v>
      </c>
      <c r="GZ83" s="6">
        <v>408287880</v>
      </c>
      <c r="HA83" s="6">
        <v>408287880</v>
      </c>
      <c r="HB83" s="6">
        <v>408287880</v>
      </c>
      <c r="HC83" s="6">
        <v>408287880</v>
      </c>
      <c r="HD83" s="6">
        <v>408287880</v>
      </c>
      <c r="HE83" s="6">
        <v>408287880</v>
      </c>
      <c r="HF83" s="6">
        <v>408287880</v>
      </c>
      <c r="HG83" s="6">
        <v>408287880</v>
      </c>
      <c r="HH83" s="6">
        <v>408287880</v>
      </c>
      <c r="HI83" s="6">
        <v>408287880</v>
      </c>
      <c r="HJ83" s="6">
        <v>408287880</v>
      </c>
      <c r="HK83" s="6">
        <v>408287880</v>
      </c>
      <c r="HL83" s="6">
        <v>408287880</v>
      </c>
      <c r="HM83" s="6">
        <v>408287880</v>
      </c>
      <c r="HN83" s="6">
        <v>408287880</v>
      </c>
      <c r="HO83" s="6">
        <v>408287880</v>
      </c>
      <c r="HP83" s="6">
        <v>408287880</v>
      </c>
      <c r="HQ83" s="6">
        <v>408287880</v>
      </c>
      <c r="HR83" s="6">
        <v>408287880</v>
      </c>
      <c r="HS83" s="6">
        <v>408287880</v>
      </c>
      <c r="HT83" s="6">
        <v>408287880</v>
      </c>
      <c r="HU83" s="6">
        <v>408287880</v>
      </c>
      <c r="HV83" s="6">
        <v>408287880</v>
      </c>
      <c r="HW83" s="6">
        <v>408287880</v>
      </c>
      <c r="HX83" s="6">
        <v>408287880</v>
      </c>
      <c r="HY83" s="6">
        <v>408287880</v>
      </c>
      <c r="HZ83" s="6">
        <v>408287880</v>
      </c>
      <c r="IA83" s="6">
        <v>408287880</v>
      </c>
      <c r="IB83" s="6">
        <v>408287880</v>
      </c>
      <c r="IC83" s="6">
        <v>408287880</v>
      </c>
      <c r="ID83" s="6">
        <v>408287880</v>
      </c>
      <c r="IE83" s="6">
        <v>408287880</v>
      </c>
      <c r="IF83" s="6">
        <v>408287880</v>
      </c>
      <c r="IG83" s="6">
        <v>408287880</v>
      </c>
      <c r="IH83" s="6">
        <v>408287880</v>
      </c>
      <c r="II83" s="6">
        <v>408287880</v>
      </c>
      <c r="IJ83" s="6">
        <v>408287880</v>
      </c>
      <c r="IK83" s="6">
        <v>408287880</v>
      </c>
      <c r="IL83" s="6">
        <v>408287880</v>
      </c>
      <c r="IM83" s="6">
        <v>408287880</v>
      </c>
      <c r="IN83" s="6">
        <v>408287880</v>
      </c>
      <c r="IO83" s="6">
        <v>408287880</v>
      </c>
      <c r="IP83" s="6">
        <v>408287880</v>
      </c>
      <c r="IQ83" s="6">
        <v>408287880</v>
      </c>
      <c r="IR83" s="6">
        <v>408287880</v>
      </c>
      <c r="IS83" s="6">
        <v>408287880</v>
      </c>
      <c r="IT83" s="6">
        <v>408287880</v>
      </c>
      <c r="IU83" s="6">
        <v>408287880</v>
      </c>
      <c r="IV83" s="6">
        <v>408287880</v>
      </c>
      <c r="IW83" s="6">
        <v>408287880</v>
      </c>
      <c r="IX83" s="6">
        <v>408287880</v>
      </c>
      <c r="IY83" s="6">
        <v>408287880</v>
      </c>
    </row>
    <row r="84" spans="1:259" s="6" customFormat="1" ht="16.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65" t="s">
        <v>43</v>
      </c>
      <c r="G84" s="23" t="s">
        <v>143</v>
      </c>
      <c r="H84" s="7" t="s">
        <v>5</v>
      </c>
      <c r="I84" s="8">
        <v>20</v>
      </c>
      <c r="J84" s="44">
        <v>0</v>
      </c>
      <c r="K84" s="44">
        <v>50000000</v>
      </c>
      <c r="L84" s="44"/>
      <c r="M84" s="44">
        <f>J84+K84-L84</f>
        <v>50000000</v>
      </c>
      <c r="N84" s="9">
        <v>0</v>
      </c>
      <c r="O84" s="44">
        <v>0</v>
      </c>
      <c r="P84" s="27">
        <f t="shared" ref="P84" si="33">+M84-O84-N84</f>
        <v>50000000</v>
      </c>
      <c r="Q84" s="9">
        <v>0</v>
      </c>
      <c r="R84" s="25">
        <f t="shared" ref="R84" si="34">IF(Q84&gt;1,Q84/(M84),0)</f>
        <v>0</v>
      </c>
      <c r="S84" s="9">
        <v>0</v>
      </c>
      <c r="T84" s="10">
        <v>0</v>
      </c>
    </row>
    <row r="85" spans="1:259" s="6" customFormat="1" ht="16.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47</v>
      </c>
      <c r="F85" s="7"/>
      <c r="G85" s="23" t="s">
        <v>73</v>
      </c>
      <c r="H85" s="7" t="s">
        <v>5</v>
      </c>
      <c r="I85" s="8" t="s">
        <v>6</v>
      </c>
      <c r="J85" s="44">
        <v>1797427001</v>
      </c>
      <c r="K85" s="44"/>
      <c r="L85" s="44"/>
      <c r="M85" s="44">
        <f t="shared" si="29"/>
        <v>1797427001</v>
      </c>
      <c r="N85" s="9">
        <v>0</v>
      </c>
      <c r="O85" s="44">
        <v>1797427001</v>
      </c>
      <c r="P85" s="27">
        <f t="shared" si="27"/>
        <v>0</v>
      </c>
      <c r="Q85" s="9">
        <v>883077954</v>
      </c>
      <c r="R85" s="25">
        <f t="shared" si="14"/>
        <v>0.49130115076089259</v>
      </c>
      <c r="S85" s="9">
        <v>865575167</v>
      </c>
      <c r="T85" s="10">
        <v>831804641</v>
      </c>
    </row>
    <row r="86" spans="1:259" ht="16.5" customHeight="1" x14ac:dyDescent="0.25">
      <c r="A86" s="92" t="s">
        <v>3</v>
      </c>
      <c r="B86" s="81" t="s">
        <v>50</v>
      </c>
      <c r="C86" s="81"/>
      <c r="D86" s="81"/>
      <c r="E86" s="81"/>
      <c r="F86" s="81"/>
      <c r="G86" s="81" t="s">
        <v>78</v>
      </c>
      <c r="H86" s="81" t="s">
        <v>5</v>
      </c>
      <c r="I86" s="81" t="s">
        <v>6</v>
      </c>
      <c r="J86" s="64">
        <f t="shared" ref="J86:Q86" si="35">J45+J36</f>
        <v>49726600000</v>
      </c>
      <c r="K86" s="64">
        <f t="shared" si="35"/>
        <v>5768131753.8899994</v>
      </c>
      <c r="L86" s="64">
        <f t="shared" si="35"/>
        <v>5768131753.8900003</v>
      </c>
      <c r="M86" s="119">
        <f t="shared" si="35"/>
        <v>49726600000</v>
      </c>
      <c r="N86" s="64">
        <f t="shared" si="35"/>
        <v>0</v>
      </c>
      <c r="O86" s="64">
        <f t="shared" si="35"/>
        <v>38065657690.449997</v>
      </c>
      <c r="P86" s="64">
        <f t="shared" si="35"/>
        <v>11660942309.549997</v>
      </c>
      <c r="Q86" s="64">
        <f t="shared" si="35"/>
        <v>35262231135.449997</v>
      </c>
      <c r="R86" s="76">
        <f t="shared" si="14"/>
        <v>0.70912210236473028</v>
      </c>
      <c r="S86" s="64">
        <f>S45+S36</f>
        <v>20602446440.739998</v>
      </c>
      <c r="T86" s="73">
        <f>T45+T36</f>
        <v>20529216116.549995</v>
      </c>
      <c r="U86" s="32"/>
    </row>
    <row r="87" spans="1:259" ht="16.5" customHeight="1" x14ac:dyDescent="0.25">
      <c r="A87" s="92" t="s">
        <v>3</v>
      </c>
      <c r="B87" s="81" t="s">
        <v>50</v>
      </c>
      <c r="C87" s="81"/>
      <c r="D87" s="81"/>
      <c r="E87" s="81"/>
      <c r="F87" s="81"/>
      <c r="G87" s="81" t="s">
        <v>78</v>
      </c>
      <c r="H87" s="81" t="s">
        <v>8</v>
      </c>
      <c r="I87" s="81">
        <v>20</v>
      </c>
      <c r="J87" s="64">
        <f t="shared" ref="J87:Q87" si="36">J46</f>
        <v>950000000</v>
      </c>
      <c r="K87" s="64">
        <f t="shared" si="36"/>
        <v>50000000</v>
      </c>
      <c r="L87" s="64">
        <f t="shared" si="36"/>
        <v>50000000</v>
      </c>
      <c r="M87" s="64">
        <f t="shared" si="36"/>
        <v>950000000</v>
      </c>
      <c r="N87" s="64">
        <f t="shared" si="36"/>
        <v>0</v>
      </c>
      <c r="O87" s="64">
        <f t="shared" si="36"/>
        <v>53002559.939999998</v>
      </c>
      <c r="P87" s="64">
        <f t="shared" si="36"/>
        <v>896997440.05999994</v>
      </c>
      <c r="Q87" s="64">
        <f t="shared" si="36"/>
        <v>53002559.939999998</v>
      </c>
      <c r="R87" s="76">
        <f t="shared" si="14"/>
        <v>5.5792168357894738E-2</v>
      </c>
      <c r="S87" s="64">
        <f>S46</f>
        <v>53002559.939999998</v>
      </c>
      <c r="T87" s="73">
        <f>T46</f>
        <v>48526342.939999998</v>
      </c>
      <c r="U87" s="32"/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8</v>
      </c>
      <c r="I88" s="81">
        <v>21</v>
      </c>
      <c r="J88" s="64">
        <f>J47</f>
        <v>475113000</v>
      </c>
      <c r="K88" s="64"/>
      <c r="L88" s="64">
        <f t="shared" ref="L88:Q88" si="37">L47</f>
        <v>0</v>
      </c>
      <c r="M88" s="64">
        <f t="shared" si="37"/>
        <v>475113000</v>
      </c>
      <c r="N88" s="64">
        <f t="shared" si="37"/>
        <v>0</v>
      </c>
      <c r="O88" s="64">
        <f t="shared" si="37"/>
        <v>111847545</v>
      </c>
      <c r="P88" s="64">
        <f t="shared" si="37"/>
        <v>363265455</v>
      </c>
      <c r="Q88" s="64">
        <f t="shared" si="37"/>
        <v>111847545</v>
      </c>
      <c r="R88" s="76">
        <f t="shared" si="14"/>
        <v>0.2354125123917889</v>
      </c>
      <c r="S88" s="64">
        <f>S47</f>
        <v>52988377</v>
      </c>
      <c r="T88" s="73">
        <f>T47</f>
        <v>0</v>
      </c>
      <c r="U88" s="32"/>
    </row>
    <row r="89" spans="1:259" ht="15.75" customHeight="1" thickBot="1" x14ac:dyDescent="0.3">
      <c r="A89" s="132" t="s">
        <v>81</v>
      </c>
      <c r="B89" s="133"/>
      <c r="C89" s="133"/>
      <c r="D89" s="133"/>
      <c r="E89" s="133"/>
      <c r="F89" s="133"/>
      <c r="G89" s="133"/>
      <c r="H89" s="133"/>
      <c r="I89" s="134"/>
      <c r="J89" s="77">
        <f t="shared" ref="J89:Q89" si="38">SUM(J86:J88)</f>
        <v>51151713000</v>
      </c>
      <c r="K89" s="77">
        <f>SUM(K86:K88)</f>
        <v>5818131753.8899994</v>
      </c>
      <c r="L89" s="77">
        <f>SUM(L86:L88)</f>
        <v>5818131753.8900003</v>
      </c>
      <c r="M89" s="77">
        <f>SUM(M86:M88)</f>
        <v>51151713000</v>
      </c>
      <c r="N89" s="77">
        <f t="shared" si="38"/>
        <v>0</v>
      </c>
      <c r="O89" s="77">
        <f t="shared" si="38"/>
        <v>38230507795.389999</v>
      </c>
      <c r="P89" s="77">
        <f t="shared" si="38"/>
        <v>12921205204.609997</v>
      </c>
      <c r="Q89" s="77">
        <f t="shared" si="38"/>
        <v>35427081240.389999</v>
      </c>
      <c r="R89" s="76">
        <f t="shared" si="14"/>
        <v>0.69258836435037863</v>
      </c>
      <c r="S89" s="77">
        <f>SUM(S86:S88)</f>
        <v>20708437377.679996</v>
      </c>
      <c r="T89" s="78">
        <f>SUM(T86:T88)</f>
        <v>20577742459.489994</v>
      </c>
    </row>
    <row r="90" spans="1:259" ht="15.75" customHeight="1" thickBot="1" x14ac:dyDescent="0.3">
      <c r="A90" s="126" t="s">
        <v>86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8"/>
    </row>
    <row r="91" spans="1:259" s="47" customFormat="1" ht="24.75" customHeight="1" x14ac:dyDescent="0.25">
      <c r="A91" s="90" t="s">
        <v>3</v>
      </c>
      <c r="B91" s="11" t="s">
        <v>51</v>
      </c>
      <c r="C91" s="11" t="s">
        <v>51</v>
      </c>
      <c r="D91" s="11"/>
      <c r="E91" s="11"/>
      <c r="F91" s="11"/>
      <c r="G91" s="12" t="s">
        <v>103</v>
      </c>
      <c r="H91" s="11" t="s">
        <v>5</v>
      </c>
      <c r="I91" s="13">
        <v>10</v>
      </c>
      <c r="J91" s="14">
        <f>J92</f>
        <v>29515700000</v>
      </c>
      <c r="K91" s="14">
        <f t="shared" ref="K91:L91" si="39">K92</f>
        <v>0</v>
      </c>
      <c r="L91" s="24">
        <f t="shared" si="39"/>
        <v>0</v>
      </c>
      <c r="M91" s="24">
        <f t="shared" ref="M91:P92" si="40">M92</f>
        <v>29515700000</v>
      </c>
      <c r="N91" s="14">
        <f t="shared" si="40"/>
        <v>29515700000</v>
      </c>
      <c r="O91" s="14">
        <f t="shared" si="40"/>
        <v>0</v>
      </c>
      <c r="P91" s="24">
        <f t="shared" si="40"/>
        <v>0</v>
      </c>
      <c r="Q91" s="14">
        <f t="shared" ref="Q91" si="41">Q92</f>
        <v>0</v>
      </c>
      <c r="R91" s="50">
        <f t="shared" ref="R91:R102" si="42">IF(Q91&gt;1,Q91/(M91),0)</f>
        <v>0</v>
      </c>
      <c r="S91" s="14">
        <f>S92</f>
        <v>0</v>
      </c>
      <c r="T91" s="22">
        <f>T92</f>
        <v>0</v>
      </c>
    </row>
    <row r="92" spans="1:259" s="47" customFormat="1" ht="24.75" customHeight="1" x14ac:dyDescent="0.25">
      <c r="A92" s="90" t="s">
        <v>3</v>
      </c>
      <c r="B92" s="11" t="s">
        <v>51</v>
      </c>
      <c r="C92" s="11" t="s">
        <v>51</v>
      </c>
      <c r="D92" s="11" t="s">
        <v>34</v>
      </c>
      <c r="E92" s="11"/>
      <c r="F92" s="11"/>
      <c r="G92" s="12" t="s">
        <v>88</v>
      </c>
      <c r="H92" s="11" t="s">
        <v>5</v>
      </c>
      <c r="I92" s="13">
        <v>10</v>
      </c>
      <c r="J92" s="14">
        <f>J93</f>
        <v>29515700000</v>
      </c>
      <c r="K92" s="14">
        <f>K93</f>
        <v>0</v>
      </c>
      <c r="L92" s="24">
        <f>L93</f>
        <v>0</v>
      </c>
      <c r="M92" s="24">
        <f t="shared" si="40"/>
        <v>29515700000</v>
      </c>
      <c r="N92" s="14">
        <f t="shared" si="40"/>
        <v>29515700000</v>
      </c>
      <c r="O92" s="14">
        <f t="shared" si="40"/>
        <v>0</v>
      </c>
      <c r="P92" s="24">
        <f t="shared" si="40"/>
        <v>0</v>
      </c>
      <c r="Q92" s="14">
        <f>Q93</f>
        <v>0</v>
      </c>
      <c r="R92" s="50">
        <f t="shared" si="42"/>
        <v>0</v>
      </c>
      <c r="S92" s="14">
        <f>S93</f>
        <v>0</v>
      </c>
      <c r="T92" s="22">
        <f>T93</f>
        <v>0</v>
      </c>
    </row>
    <row r="93" spans="1:259" s="47" customFormat="1" ht="24.75" customHeight="1" x14ac:dyDescent="0.25">
      <c r="A93" s="91" t="s">
        <v>3</v>
      </c>
      <c r="B93" s="7" t="s">
        <v>51</v>
      </c>
      <c r="C93" s="7" t="s">
        <v>51</v>
      </c>
      <c r="D93" s="7" t="s">
        <v>34</v>
      </c>
      <c r="E93" s="7">
        <v>999</v>
      </c>
      <c r="F93" s="7"/>
      <c r="G93" s="23" t="s">
        <v>229</v>
      </c>
      <c r="H93" s="7" t="s">
        <v>5</v>
      </c>
      <c r="I93" s="8">
        <v>10</v>
      </c>
      <c r="J93" s="27">
        <v>29515700000</v>
      </c>
      <c r="K93" s="27">
        <v>0</v>
      </c>
      <c r="L93" s="27">
        <v>0</v>
      </c>
      <c r="M93" s="27">
        <f t="shared" ref="M93:M100" si="43">J93+K93-L93</f>
        <v>29515700000</v>
      </c>
      <c r="N93" s="27">
        <v>29515700000</v>
      </c>
      <c r="O93" s="9">
        <v>0</v>
      </c>
      <c r="P93" s="27">
        <f>+M93-O93-N93</f>
        <v>0</v>
      </c>
      <c r="Q93" s="9">
        <v>0</v>
      </c>
      <c r="R93" s="50">
        <f t="shared" si="42"/>
        <v>0</v>
      </c>
      <c r="S93" s="9">
        <v>0</v>
      </c>
      <c r="T93" s="10">
        <v>0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70</v>
      </c>
      <c r="D94" s="11"/>
      <c r="E94" s="11"/>
      <c r="F94" s="11"/>
      <c r="G94" s="12" t="s">
        <v>139</v>
      </c>
      <c r="H94" s="11" t="s">
        <v>5</v>
      </c>
      <c r="I94" s="13">
        <v>10</v>
      </c>
      <c r="J94" s="14">
        <f>J95</f>
        <v>1329700000</v>
      </c>
      <c r="K94" s="24">
        <f t="shared" ref="K94:L95" si="44">K95</f>
        <v>0</v>
      </c>
      <c r="L94" s="24">
        <f t="shared" si="44"/>
        <v>0</v>
      </c>
      <c r="M94" s="24">
        <f t="shared" si="43"/>
        <v>1329700000</v>
      </c>
      <c r="N94" s="14">
        <v>0</v>
      </c>
      <c r="O94" s="14">
        <f t="shared" ref="O94:Q95" si="45">O95</f>
        <v>728541132</v>
      </c>
      <c r="P94" s="24">
        <f>P95</f>
        <v>601158868</v>
      </c>
      <c r="Q94" s="14">
        <f t="shared" si="45"/>
        <v>728541132</v>
      </c>
      <c r="R94" s="50">
        <f t="shared" si="42"/>
        <v>0.54789887343009702</v>
      </c>
      <c r="S94" s="14">
        <f>S95</f>
        <v>728541131</v>
      </c>
      <c r="T94" s="22">
        <f>T95</f>
        <v>728541131</v>
      </c>
    </row>
    <row r="95" spans="1:259" s="47" customFormat="1" ht="24.75" customHeight="1" x14ac:dyDescent="0.25">
      <c r="A95" s="90" t="s">
        <v>3</v>
      </c>
      <c r="B95" s="11" t="s">
        <v>51</v>
      </c>
      <c r="C95" s="11" t="s">
        <v>70</v>
      </c>
      <c r="D95" s="11" t="s">
        <v>50</v>
      </c>
      <c r="E95" s="11"/>
      <c r="F95" s="11"/>
      <c r="G95" s="12" t="s">
        <v>104</v>
      </c>
      <c r="H95" s="11" t="s">
        <v>5</v>
      </c>
      <c r="I95" s="13">
        <v>10</v>
      </c>
      <c r="J95" s="24">
        <f>J96</f>
        <v>1329700000</v>
      </c>
      <c r="K95" s="24">
        <f t="shared" si="44"/>
        <v>0</v>
      </c>
      <c r="L95" s="24">
        <f t="shared" si="44"/>
        <v>0</v>
      </c>
      <c r="M95" s="24">
        <f t="shared" si="43"/>
        <v>1329700000</v>
      </c>
      <c r="N95" s="24"/>
      <c r="O95" s="24">
        <f t="shared" si="45"/>
        <v>728541132</v>
      </c>
      <c r="P95" s="24">
        <f t="shared" si="45"/>
        <v>601158868</v>
      </c>
      <c r="Q95" s="14">
        <f t="shared" si="45"/>
        <v>728541132</v>
      </c>
      <c r="R95" s="50">
        <f t="shared" si="42"/>
        <v>0.54789887343009702</v>
      </c>
      <c r="S95" s="14">
        <f>S96</f>
        <v>728541131</v>
      </c>
      <c r="T95" s="22">
        <f>T96</f>
        <v>728541131</v>
      </c>
    </row>
    <row r="96" spans="1:259" s="6" customFormat="1" ht="24.75" customHeight="1" x14ac:dyDescent="0.25">
      <c r="A96" s="90" t="s">
        <v>3</v>
      </c>
      <c r="B96" s="11" t="s">
        <v>51</v>
      </c>
      <c r="C96" s="11" t="s">
        <v>70</v>
      </c>
      <c r="D96" s="11" t="s">
        <v>50</v>
      </c>
      <c r="E96" s="11" t="s">
        <v>71</v>
      </c>
      <c r="F96" s="11"/>
      <c r="G96" s="12" t="s">
        <v>230</v>
      </c>
      <c r="H96" s="11" t="s">
        <v>5</v>
      </c>
      <c r="I96" s="13">
        <v>10</v>
      </c>
      <c r="J96" s="24">
        <f>J97+J98</f>
        <v>1329700000</v>
      </c>
      <c r="K96" s="24">
        <f t="shared" ref="K96:L96" si="46">K97+K98</f>
        <v>0</v>
      </c>
      <c r="L96" s="24">
        <f t="shared" si="46"/>
        <v>0</v>
      </c>
      <c r="M96" s="24">
        <f t="shared" si="43"/>
        <v>1329700000</v>
      </c>
      <c r="N96" s="24">
        <f>N97+N98</f>
        <v>0</v>
      </c>
      <c r="O96" s="24">
        <f>O97+O98</f>
        <v>728541132</v>
      </c>
      <c r="P96" s="24">
        <f>P97+P98</f>
        <v>601158868</v>
      </c>
      <c r="Q96" s="24">
        <f>Q97+Q98</f>
        <v>728541132</v>
      </c>
      <c r="R96" s="26">
        <f>IF(Q96&gt;1,Q96/(M96),0)</f>
        <v>0.54789887343009702</v>
      </c>
      <c r="S96" s="14">
        <f>S97+S98</f>
        <v>728541131</v>
      </c>
      <c r="T96" s="22">
        <f>T97+T98</f>
        <v>728541131</v>
      </c>
    </row>
    <row r="97" spans="1:27" s="6" customFormat="1" ht="16.5" customHeight="1" x14ac:dyDescent="0.25">
      <c r="A97" s="91" t="s">
        <v>3</v>
      </c>
      <c r="B97" s="7" t="s">
        <v>51</v>
      </c>
      <c r="C97" s="7" t="s">
        <v>70</v>
      </c>
      <c r="D97" s="7" t="s">
        <v>50</v>
      </c>
      <c r="E97" s="7" t="s">
        <v>71</v>
      </c>
      <c r="F97" s="7" t="s">
        <v>35</v>
      </c>
      <c r="G97" s="23" t="s">
        <v>74</v>
      </c>
      <c r="H97" s="7" t="s">
        <v>5</v>
      </c>
      <c r="I97" s="7" t="s">
        <v>6</v>
      </c>
      <c r="J97" s="27">
        <v>840300740</v>
      </c>
      <c r="K97" s="27"/>
      <c r="L97" s="27"/>
      <c r="M97" s="27">
        <f t="shared" si="43"/>
        <v>840300740</v>
      </c>
      <c r="N97" s="9"/>
      <c r="O97" s="27">
        <v>506151277</v>
      </c>
      <c r="P97" s="27">
        <f>+M97-O97-N97</f>
        <v>334149463</v>
      </c>
      <c r="Q97" s="27">
        <v>506151277</v>
      </c>
      <c r="R97" s="25">
        <f t="shared" si="42"/>
        <v>0.60234539005642196</v>
      </c>
      <c r="S97" s="27">
        <v>506151276</v>
      </c>
      <c r="T97" s="51">
        <v>506151276</v>
      </c>
    </row>
    <row r="98" spans="1:27" s="47" customFormat="1" ht="16.5" customHeight="1" x14ac:dyDescent="0.25">
      <c r="A98" s="91" t="s">
        <v>3</v>
      </c>
      <c r="B98" s="7" t="s">
        <v>51</v>
      </c>
      <c r="C98" s="7" t="s">
        <v>70</v>
      </c>
      <c r="D98" s="7" t="s">
        <v>50</v>
      </c>
      <c r="E98" s="7" t="s">
        <v>71</v>
      </c>
      <c r="F98" s="7" t="s">
        <v>37</v>
      </c>
      <c r="G98" s="23" t="s">
        <v>75</v>
      </c>
      <c r="H98" s="7" t="s">
        <v>5</v>
      </c>
      <c r="I98" s="7" t="s">
        <v>6</v>
      </c>
      <c r="J98" s="27">
        <v>489399260</v>
      </c>
      <c r="K98" s="27"/>
      <c r="L98" s="27"/>
      <c r="M98" s="27">
        <f t="shared" si="43"/>
        <v>489399260</v>
      </c>
      <c r="N98" s="9">
        <v>0</v>
      </c>
      <c r="O98" s="27">
        <v>222389855</v>
      </c>
      <c r="P98" s="27">
        <f>+M98-O98-N98</f>
        <v>267009405</v>
      </c>
      <c r="Q98" s="27">
        <v>222389855</v>
      </c>
      <c r="R98" s="25">
        <f t="shared" si="42"/>
        <v>0.45441395845183746</v>
      </c>
      <c r="S98" s="27">
        <v>222389855</v>
      </c>
      <c r="T98" s="51">
        <v>222389855</v>
      </c>
    </row>
    <row r="99" spans="1:27" s="6" customFormat="1" ht="16.5" customHeight="1" x14ac:dyDescent="0.25">
      <c r="A99" s="90" t="s">
        <v>3</v>
      </c>
      <c r="B99" s="11" t="s">
        <v>51</v>
      </c>
      <c r="C99" s="11" t="s">
        <v>6</v>
      </c>
      <c r="D99" s="11"/>
      <c r="E99" s="11"/>
      <c r="F99" s="11"/>
      <c r="G99" s="12" t="s">
        <v>85</v>
      </c>
      <c r="H99" s="11" t="s">
        <v>5</v>
      </c>
      <c r="I99" s="11">
        <v>11</v>
      </c>
      <c r="J99" s="24">
        <f>J100</f>
        <v>0</v>
      </c>
      <c r="K99" s="24"/>
      <c r="L99" s="24"/>
      <c r="M99" s="24">
        <f t="shared" si="43"/>
        <v>0</v>
      </c>
      <c r="N99" s="14">
        <f>N100</f>
        <v>0</v>
      </c>
      <c r="O99" s="24">
        <f>O100</f>
        <v>0</v>
      </c>
      <c r="P99" s="24">
        <f>P100</f>
        <v>0</v>
      </c>
      <c r="Q99" s="24"/>
      <c r="R99" s="26">
        <f t="shared" si="42"/>
        <v>0</v>
      </c>
      <c r="S99" s="24"/>
      <c r="T99" s="33"/>
    </row>
    <row r="100" spans="1:27" s="6" customFormat="1" ht="16.5" customHeight="1" x14ac:dyDescent="0.25">
      <c r="A100" s="90" t="s">
        <v>3</v>
      </c>
      <c r="B100" s="71" t="s">
        <v>51</v>
      </c>
      <c r="C100" s="7" t="s">
        <v>6</v>
      </c>
      <c r="D100" s="7"/>
      <c r="E100" s="7"/>
      <c r="F100" s="7"/>
      <c r="G100" s="107" t="s">
        <v>85</v>
      </c>
      <c r="H100" s="7" t="s">
        <v>5</v>
      </c>
      <c r="I100" s="7">
        <v>11</v>
      </c>
      <c r="J100" s="27">
        <v>0</v>
      </c>
      <c r="K100" s="27">
        <v>0</v>
      </c>
      <c r="L100" s="27">
        <v>0</v>
      </c>
      <c r="M100" s="27">
        <f t="shared" si="43"/>
        <v>0</v>
      </c>
      <c r="N100" s="9">
        <v>0</v>
      </c>
      <c r="O100" s="9"/>
      <c r="P100" s="27">
        <f>+M100-O100-N100</f>
        <v>0</v>
      </c>
      <c r="Q100" s="27"/>
      <c r="R100" s="25">
        <f t="shared" si="42"/>
        <v>0</v>
      </c>
      <c r="S100" s="27"/>
      <c r="T100" s="51"/>
    </row>
    <row r="101" spans="1:27" s="55" customFormat="1" ht="16.5" customHeight="1" x14ac:dyDescent="0.25">
      <c r="A101" s="92" t="s">
        <v>3</v>
      </c>
      <c r="B101" s="81" t="s">
        <v>51</v>
      </c>
      <c r="C101" s="81"/>
      <c r="D101" s="81"/>
      <c r="E101" s="81"/>
      <c r="F101" s="81"/>
      <c r="G101" s="82" t="s">
        <v>17</v>
      </c>
      <c r="H101" s="81" t="s">
        <v>5</v>
      </c>
      <c r="I101" s="83" t="s">
        <v>6</v>
      </c>
      <c r="J101" s="64">
        <f t="shared" ref="J101:Q101" si="47">J99+J94+J91</f>
        <v>30845400000</v>
      </c>
      <c r="K101" s="64">
        <f t="shared" si="47"/>
        <v>0</v>
      </c>
      <c r="L101" s="64">
        <f t="shared" si="47"/>
        <v>0</v>
      </c>
      <c r="M101" s="64">
        <f t="shared" si="47"/>
        <v>30845400000</v>
      </c>
      <c r="N101" s="64">
        <f t="shared" si="47"/>
        <v>29515700000</v>
      </c>
      <c r="O101" s="64">
        <f t="shared" si="47"/>
        <v>728541132</v>
      </c>
      <c r="P101" s="64">
        <f t="shared" si="47"/>
        <v>601158868</v>
      </c>
      <c r="Q101" s="64">
        <f t="shared" si="47"/>
        <v>728541132</v>
      </c>
      <c r="R101" s="76">
        <f t="shared" si="42"/>
        <v>2.3619117664222217E-2</v>
      </c>
      <c r="S101" s="64">
        <f>S99+S94+S91</f>
        <v>728541131</v>
      </c>
      <c r="T101" s="73">
        <f>T99+T94+T91</f>
        <v>728541131</v>
      </c>
      <c r="U101" s="54"/>
      <c r="V101" s="54"/>
      <c r="W101" s="54"/>
      <c r="X101" s="54"/>
      <c r="Y101" s="54"/>
      <c r="Z101" s="54"/>
      <c r="AA101" s="54"/>
    </row>
    <row r="102" spans="1:27" s="6" customFormat="1" ht="16.5" customHeight="1" thickBot="1" x14ac:dyDescent="0.3">
      <c r="A102" s="132" t="s">
        <v>27</v>
      </c>
      <c r="B102" s="133"/>
      <c r="C102" s="133"/>
      <c r="D102" s="133"/>
      <c r="E102" s="133"/>
      <c r="F102" s="133"/>
      <c r="G102" s="133"/>
      <c r="H102" s="133"/>
      <c r="I102" s="134"/>
      <c r="J102" s="77">
        <f>J101</f>
        <v>30845400000</v>
      </c>
      <c r="K102" s="77">
        <f t="shared" ref="K102:L102" si="48">K101</f>
        <v>0</v>
      </c>
      <c r="L102" s="77">
        <f t="shared" si="48"/>
        <v>0</v>
      </c>
      <c r="M102" s="77">
        <f>M101</f>
        <v>30845400000</v>
      </c>
      <c r="N102" s="77">
        <f>N101</f>
        <v>29515700000</v>
      </c>
      <c r="O102" s="77">
        <f>O101</f>
        <v>728541132</v>
      </c>
      <c r="P102" s="77">
        <f>P101</f>
        <v>601158868</v>
      </c>
      <c r="Q102" s="77">
        <f>Q101</f>
        <v>728541132</v>
      </c>
      <c r="R102" s="76">
        <f t="shared" si="42"/>
        <v>2.3619117664222217E-2</v>
      </c>
      <c r="S102" s="77">
        <f>S101</f>
        <v>728541131</v>
      </c>
      <c r="T102" s="78">
        <f>T101</f>
        <v>728541131</v>
      </c>
    </row>
    <row r="103" spans="1:27" s="47" customFormat="1" ht="16.5" customHeight="1" thickBot="1" x14ac:dyDescent="0.3">
      <c r="A103" s="126" t="s">
        <v>101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8"/>
    </row>
    <row r="104" spans="1:27" s="47" customFormat="1" ht="16.5" customHeight="1" x14ac:dyDescent="0.25">
      <c r="A104" s="90" t="s">
        <v>3</v>
      </c>
      <c r="B104" s="11" t="s">
        <v>72</v>
      </c>
      <c r="C104" s="11"/>
      <c r="D104" s="11"/>
      <c r="E104" s="11"/>
      <c r="F104" s="11"/>
      <c r="G104" s="12" t="s">
        <v>84</v>
      </c>
      <c r="H104" s="11" t="s">
        <v>5</v>
      </c>
      <c r="I104" s="11" t="s">
        <v>6</v>
      </c>
      <c r="J104" s="24">
        <f>J106</f>
        <v>484300000</v>
      </c>
      <c r="K104" s="24">
        <f t="shared" ref="K104:L104" si="49">K106</f>
        <v>0</v>
      </c>
      <c r="L104" s="24">
        <f t="shared" si="49"/>
        <v>0</v>
      </c>
      <c r="M104" s="24">
        <f>M106</f>
        <v>484300000</v>
      </c>
      <c r="N104" s="24">
        <f>N106+N110</f>
        <v>0</v>
      </c>
      <c r="O104" s="24">
        <f>O106</f>
        <v>437380793</v>
      </c>
      <c r="P104" s="24">
        <f>P106</f>
        <v>46919207</v>
      </c>
      <c r="Q104" s="24">
        <f>Q106</f>
        <v>437380793</v>
      </c>
      <c r="R104" s="26">
        <f t="shared" ref="R104:R118" si="50">IF(Q104&gt;1,Q104/(M104),0)</f>
        <v>0.9031195395416064</v>
      </c>
      <c r="S104" s="24">
        <f>S106</f>
        <v>437380793</v>
      </c>
      <c r="T104" s="33">
        <f>T106</f>
        <v>437380793</v>
      </c>
    </row>
    <row r="105" spans="1:27" s="47" customFormat="1" ht="16.5" customHeight="1" x14ac:dyDescent="0.25">
      <c r="A105" s="90" t="s">
        <v>3</v>
      </c>
      <c r="B105" s="11" t="s">
        <v>72</v>
      </c>
      <c r="C105" s="11"/>
      <c r="D105" s="11"/>
      <c r="E105" s="11"/>
      <c r="F105" s="11"/>
      <c r="G105" s="12" t="s">
        <v>84</v>
      </c>
      <c r="H105" s="11" t="s">
        <v>5</v>
      </c>
      <c r="I105" s="11">
        <v>11</v>
      </c>
      <c r="J105" s="24">
        <f>J109</f>
        <v>877200000</v>
      </c>
      <c r="K105" s="24">
        <f t="shared" ref="K105:L105" si="51">K109</f>
        <v>0</v>
      </c>
      <c r="L105" s="24">
        <f t="shared" si="51"/>
        <v>0</v>
      </c>
      <c r="M105" s="24">
        <f>M109</f>
        <v>877200000</v>
      </c>
      <c r="N105" s="24">
        <f>N109</f>
        <v>0</v>
      </c>
      <c r="O105" s="24">
        <f>O109</f>
        <v>0</v>
      </c>
      <c r="P105" s="24">
        <f>P109</f>
        <v>877200000</v>
      </c>
      <c r="Q105" s="24">
        <f>Q109</f>
        <v>0</v>
      </c>
      <c r="R105" s="26">
        <f t="shared" si="50"/>
        <v>0</v>
      </c>
      <c r="S105" s="24">
        <f>S109</f>
        <v>0</v>
      </c>
      <c r="T105" s="33">
        <f>T109</f>
        <v>0</v>
      </c>
    </row>
    <row r="106" spans="1:27" s="6" customFormat="1" ht="16.5" customHeight="1" x14ac:dyDescent="0.25">
      <c r="A106" s="90" t="s">
        <v>3</v>
      </c>
      <c r="B106" s="11" t="s">
        <v>72</v>
      </c>
      <c r="C106" s="11" t="s">
        <v>34</v>
      </c>
      <c r="D106" s="11"/>
      <c r="E106" s="11"/>
      <c r="F106" s="11"/>
      <c r="G106" s="12" t="s">
        <v>82</v>
      </c>
      <c r="H106" s="11" t="s">
        <v>5</v>
      </c>
      <c r="I106" s="11" t="s">
        <v>6</v>
      </c>
      <c r="J106" s="24">
        <f>J107+J108</f>
        <v>484300000</v>
      </c>
      <c r="K106" s="24">
        <f t="shared" ref="K106" si="52">K107+K108</f>
        <v>0</v>
      </c>
      <c r="L106" s="24">
        <f>L107+L108</f>
        <v>0</v>
      </c>
      <c r="M106" s="24">
        <f>M107+M108</f>
        <v>484300000</v>
      </c>
      <c r="N106" s="24">
        <f>N107+N108</f>
        <v>0</v>
      </c>
      <c r="O106" s="24">
        <f>O107+O108</f>
        <v>437380793</v>
      </c>
      <c r="P106" s="24">
        <f>M106-O106-N106</f>
        <v>46919207</v>
      </c>
      <c r="Q106" s="24">
        <f>Q107+Q108</f>
        <v>437380793</v>
      </c>
      <c r="R106" s="26">
        <f t="shared" si="50"/>
        <v>0.9031195395416064</v>
      </c>
      <c r="S106" s="24">
        <f>S107+S108</f>
        <v>437380793</v>
      </c>
      <c r="T106" s="33">
        <f>T107+T108</f>
        <v>437380793</v>
      </c>
    </row>
    <row r="107" spans="1:27" s="6" customFormat="1" ht="16.5" customHeight="1" x14ac:dyDescent="0.25">
      <c r="A107" s="90" t="s">
        <v>3</v>
      </c>
      <c r="B107" s="7" t="s">
        <v>72</v>
      </c>
      <c r="C107" s="7" t="s">
        <v>34</v>
      </c>
      <c r="D107" s="7" t="s">
        <v>50</v>
      </c>
      <c r="E107" s="7" t="s">
        <v>35</v>
      </c>
      <c r="F107" s="7"/>
      <c r="G107" s="23" t="s">
        <v>76</v>
      </c>
      <c r="H107" s="7" t="s">
        <v>5</v>
      </c>
      <c r="I107" s="7" t="s">
        <v>6</v>
      </c>
      <c r="J107" s="27">
        <v>472800000</v>
      </c>
      <c r="K107" s="27"/>
      <c r="L107" s="27"/>
      <c r="M107" s="27">
        <f t="shared" ref="M107:M108" si="53">J107+K107-L107</f>
        <v>472800000</v>
      </c>
      <c r="N107" s="9">
        <v>0</v>
      </c>
      <c r="O107" s="27">
        <v>428545793</v>
      </c>
      <c r="P107" s="27">
        <f>+M107-O107-N107</f>
        <v>44254207</v>
      </c>
      <c r="Q107" s="27">
        <v>428545793</v>
      </c>
      <c r="R107" s="26">
        <f t="shared" si="50"/>
        <v>0.90639973138747887</v>
      </c>
      <c r="S107" s="27">
        <v>428545793</v>
      </c>
      <c r="T107" s="51">
        <v>428545793</v>
      </c>
    </row>
    <row r="108" spans="1:27" s="47" customFormat="1" ht="16.5" customHeight="1" x14ac:dyDescent="0.25">
      <c r="A108" s="90" t="s">
        <v>3</v>
      </c>
      <c r="B108" s="7" t="s">
        <v>72</v>
      </c>
      <c r="C108" s="7" t="s">
        <v>34</v>
      </c>
      <c r="D108" s="7" t="s">
        <v>50</v>
      </c>
      <c r="E108" s="7" t="s">
        <v>43</v>
      </c>
      <c r="F108" s="7"/>
      <c r="G108" s="23" t="s">
        <v>77</v>
      </c>
      <c r="H108" s="7" t="s">
        <v>5</v>
      </c>
      <c r="I108" s="7" t="s">
        <v>6</v>
      </c>
      <c r="J108" s="27">
        <v>11500000</v>
      </c>
      <c r="K108" s="27"/>
      <c r="L108" s="27"/>
      <c r="M108" s="27">
        <f t="shared" si="53"/>
        <v>11500000</v>
      </c>
      <c r="N108" s="9">
        <v>0</v>
      </c>
      <c r="O108" s="27">
        <v>8835000</v>
      </c>
      <c r="P108" s="27">
        <f>+M108-O108-N108</f>
        <v>2665000</v>
      </c>
      <c r="Q108" s="27">
        <v>8835000</v>
      </c>
      <c r="R108" s="26">
        <f t="shared" si="50"/>
        <v>0.76826086956521744</v>
      </c>
      <c r="S108" s="27">
        <v>8835000</v>
      </c>
      <c r="T108" s="51">
        <v>8835000</v>
      </c>
    </row>
    <row r="109" spans="1:27" s="47" customFormat="1" ht="16.5" customHeight="1" x14ac:dyDescent="0.25">
      <c r="A109" s="90" t="s">
        <v>3</v>
      </c>
      <c r="B109" s="11" t="s">
        <v>72</v>
      </c>
      <c r="C109" s="11" t="s">
        <v>70</v>
      </c>
      <c r="D109" s="11"/>
      <c r="E109" s="11"/>
      <c r="F109" s="11"/>
      <c r="G109" s="12" t="s">
        <v>137</v>
      </c>
      <c r="H109" s="11" t="s">
        <v>5</v>
      </c>
      <c r="I109" s="11">
        <v>11</v>
      </c>
      <c r="J109" s="24">
        <f>J110</f>
        <v>877200000</v>
      </c>
      <c r="K109" s="24"/>
      <c r="L109" s="24"/>
      <c r="M109" s="24">
        <f>M110</f>
        <v>877200000</v>
      </c>
      <c r="N109" s="14">
        <f>N110</f>
        <v>0</v>
      </c>
      <c r="O109" s="24">
        <f t="shared" ref="O109:T110" si="54">O110</f>
        <v>0</v>
      </c>
      <c r="P109" s="24">
        <f>+M109-O109-N109</f>
        <v>877200000</v>
      </c>
      <c r="Q109" s="24">
        <f t="shared" si="54"/>
        <v>0</v>
      </c>
      <c r="R109" s="26">
        <f t="shared" si="50"/>
        <v>0</v>
      </c>
      <c r="S109" s="24">
        <f t="shared" si="54"/>
        <v>0</v>
      </c>
      <c r="T109" s="33">
        <f t="shared" si="54"/>
        <v>0</v>
      </c>
    </row>
    <row r="110" spans="1:27" s="6" customFormat="1" ht="16.5" customHeight="1" x14ac:dyDescent="0.25">
      <c r="A110" s="90" t="s">
        <v>3</v>
      </c>
      <c r="B110" s="11" t="s">
        <v>72</v>
      </c>
      <c r="C110" s="11" t="s">
        <v>70</v>
      </c>
      <c r="D110" s="71" t="s">
        <v>34</v>
      </c>
      <c r="E110" s="11"/>
      <c r="F110" s="11"/>
      <c r="G110" s="12" t="s">
        <v>83</v>
      </c>
      <c r="H110" s="11" t="s">
        <v>5</v>
      </c>
      <c r="I110" s="11">
        <v>11</v>
      </c>
      <c r="J110" s="24">
        <f>J111</f>
        <v>877200000</v>
      </c>
      <c r="K110" s="24">
        <f t="shared" ref="K110:L110" si="55">K111</f>
        <v>0</v>
      </c>
      <c r="L110" s="24">
        <f t="shared" si="55"/>
        <v>0</v>
      </c>
      <c r="M110" s="24">
        <f>M111</f>
        <v>877200000</v>
      </c>
      <c r="N110" s="14">
        <f>N111</f>
        <v>0</v>
      </c>
      <c r="O110" s="24">
        <f t="shared" si="54"/>
        <v>0</v>
      </c>
      <c r="P110" s="24">
        <f>+M110-O110-N110</f>
        <v>877200000</v>
      </c>
      <c r="Q110" s="24">
        <f t="shared" si="54"/>
        <v>0</v>
      </c>
      <c r="R110" s="26">
        <f t="shared" si="50"/>
        <v>0</v>
      </c>
      <c r="S110" s="24">
        <f t="shared" si="54"/>
        <v>0</v>
      </c>
      <c r="T110" s="33">
        <f t="shared" si="54"/>
        <v>0</v>
      </c>
    </row>
    <row r="111" spans="1:27" ht="18" customHeight="1" x14ac:dyDescent="0.25">
      <c r="A111" s="91" t="s">
        <v>3</v>
      </c>
      <c r="B111" s="7" t="s">
        <v>72</v>
      </c>
      <c r="C111" s="7" t="s">
        <v>70</v>
      </c>
      <c r="D111" s="7" t="s">
        <v>34</v>
      </c>
      <c r="E111" s="7"/>
      <c r="F111" s="7"/>
      <c r="G111" s="23" t="s">
        <v>83</v>
      </c>
      <c r="H111" s="7" t="s">
        <v>5</v>
      </c>
      <c r="I111" s="7">
        <v>11</v>
      </c>
      <c r="J111" s="27">
        <v>877200000</v>
      </c>
      <c r="K111" s="27">
        <v>0</v>
      </c>
      <c r="L111" s="27">
        <v>0</v>
      </c>
      <c r="M111" s="27">
        <f>J111+K111-L111</f>
        <v>877200000</v>
      </c>
      <c r="N111" s="9">
        <v>0</v>
      </c>
      <c r="O111" s="27"/>
      <c r="P111" s="27">
        <f>+M111-O111-N111</f>
        <v>877200000</v>
      </c>
      <c r="Q111" s="27"/>
      <c r="R111" s="25">
        <f t="shared" si="50"/>
        <v>0</v>
      </c>
      <c r="S111" s="27"/>
      <c r="T111" s="51"/>
    </row>
    <row r="112" spans="1:27" ht="26.25" customHeight="1" x14ac:dyDescent="0.25">
      <c r="A112" s="92" t="s">
        <v>3</v>
      </c>
      <c r="B112" s="81" t="s">
        <v>72</v>
      </c>
      <c r="C112" s="81"/>
      <c r="D112" s="81"/>
      <c r="E112" s="81"/>
      <c r="F112" s="81"/>
      <c r="G112" s="82" t="s">
        <v>100</v>
      </c>
      <c r="H112" s="81" t="s">
        <v>5</v>
      </c>
      <c r="I112" s="83" t="s">
        <v>6</v>
      </c>
      <c r="J112" s="64">
        <f>J104</f>
        <v>484300000</v>
      </c>
      <c r="K112" s="64">
        <f t="shared" ref="K112:L112" si="56">K104</f>
        <v>0</v>
      </c>
      <c r="L112" s="64">
        <f t="shared" si="56"/>
        <v>0</v>
      </c>
      <c r="M112" s="64">
        <f>M104</f>
        <v>484300000</v>
      </c>
      <c r="N112" s="64">
        <f>N106</f>
        <v>0</v>
      </c>
      <c r="O112" s="64">
        <f>O106</f>
        <v>437380793</v>
      </c>
      <c r="P112" s="64">
        <f>P106</f>
        <v>46919207</v>
      </c>
      <c r="Q112" s="64">
        <f>Q106</f>
        <v>437380793</v>
      </c>
      <c r="R112" s="76">
        <f t="shared" si="50"/>
        <v>0.9031195395416064</v>
      </c>
      <c r="S112" s="64">
        <f>S106</f>
        <v>437380793</v>
      </c>
      <c r="T112" s="73">
        <f>T106</f>
        <v>437380793</v>
      </c>
    </row>
    <row r="113" spans="1:21" ht="26.25" customHeight="1" x14ac:dyDescent="0.25">
      <c r="A113" s="92" t="s">
        <v>3</v>
      </c>
      <c r="B113" s="81" t="s">
        <v>72</v>
      </c>
      <c r="C113" s="81"/>
      <c r="D113" s="81"/>
      <c r="E113" s="81"/>
      <c r="F113" s="81"/>
      <c r="G113" s="82" t="s">
        <v>100</v>
      </c>
      <c r="H113" s="81" t="s">
        <v>5</v>
      </c>
      <c r="I113" s="83">
        <v>11</v>
      </c>
      <c r="J113" s="64">
        <f>J105</f>
        <v>877200000</v>
      </c>
      <c r="K113" s="64">
        <f t="shared" ref="K113:L113" si="57">K105</f>
        <v>0</v>
      </c>
      <c r="L113" s="64">
        <f t="shared" si="57"/>
        <v>0</v>
      </c>
      <c r="M113" s="64">
        <f>M105</f>
        <v>877200000</v>
      </c>
      <c r="N113" s="64">
        <f>N110</f>
        <v>0</v>
      </c>
      <c r="O113" s="64">
        <f>O105</f>
        <v>0</v>
      </c>
      <c r="P113" s="64">
        <f>P105</f>
        <v>877200000</v>
      </c>
      <c r="Q113" s="64">
        <f>Q105</f>
        <v>0</v>
      </c>
      <c r="R113" s="76">
        <f t="shared" si="50"/>
        <v>0</v>
      </c>
      <c r="S113" s="64">
        <f>S105</f>
        <v>0</v>
      </c>
      <c r="T113" s="73">
        <f>T105</f>
        <v>0</v>
      </c>
    </row>
    <row r="114" spans="1:21" ht="16.5" customHeight="1" x14ac:dyDescent="0.25">
      <c r="A114" s="132" t="s">
        <v>105</v>
      </c>
      <c r="B114" s="133"/>
      <c r="C114" s="133"/>
      <c r="D114" s="133"/>
      <c r="E114" s="133"/>
      <c r="F114" s="133"/>
      <c r="G114" s="133"/>
      <c r="H114" s="133"/>
      <c r="I114" s="134"/>
      <c r="J114" s="77">
        <f>J112+J113</f>
        <v>1361500000</v>
      </c>
      <c r="K114" s="77">
        <f t="shared" ref="K114:L114" si="58">K112+K113</f>
        <v>0</v>
      </c>
      <c r="L114" s="77">
        <f t="shared" si="58"/>
        <v>0</v>
      </c>
      <c r="M114" s="77">
        <f>M112+M113</f>
        <v>1361500000</v>
      </c>
      <c r="N114" s="77">
        <f>N112+N113</f>
        <v>0</v>
      </c>
      <c r="O114" s="77">
        <f>O112+O113</f>
        <v>437380793</v>
      </c>
      <c r="P114" s="77">
        <f>P112+P113</f>
        <v>924119207</v>
      </c>
      <c r="Q114" s="77">
        <f>Q112+Q113</f>
        <v>437380793</v>
      </c>
      <c r="R114" s="76">
        <f t="shared" si="50"/>
        <v>0.32124920528828499</v>
      </c>
      <c r="S114" s="77">
        <f>S112+S113</f>
        <v>437380793</v>
      </c>
      <c r="T114" s="78">
        <f>T112+T113</f>
        <v>437380793</v>
      </c>
    </row>
    <row r="115" spans="1:21" ht="16.5" customHeight="1" x14ac:dyDescent="0.25">
      <c r="A115" s="93" t="s">
        <v>3</v>
      </c>
      <c r="B115" s="84"/>
      <c r="C115" s="84"/>
      <c r="D115" s="84"/>
      <c r="E115" s="84"/>
      <c r="F115" s="84"/>
      <c r="G115" s="85" t="s">
        <v>4</v>
      </c>
      <c r="H115" s="84" t="s">
        <v>5</v>
      </c>
      <c r="I115" s="86">
        <v>10</v>
      </c>
      <c r="J115" s="72">
        <f t="shared" ref="J115:Q115" si="59">+J112+J86+J33+J101</f>
        <v>387240600000</v>
      </c>
      <c r="K115" s="72">
        <f t="shared" si="59"/>
        <v>5768131753.8899994</v>
      </c>
      <c r="L115" s="72">
        <f t="shared" si="59"/>
        <v>5768131753.8900003</v>
      </c>
      <c r="M115" s="72">
        <f t="shared" si="59"/>
        <v>387240600000</v>
      </c>
      <c r="N115" s="72">
        <f t="shared" si="59"/>
        <v>29515700000</v>
      </c>
      <c r="O115" s="72">
        <f t="shared" si="59"/>
        <v>172923897962.45001</v>
      </c>
      <c r="P115" s="72">
        <f t="shared" si="59"/>
        <v>184801002037.54999</v>
      </c>
      <c r="Q115" s="72">
        <f t="shared" si="59"/>
        <v>170120471407.45001</v>
      </c>
      <c r="R115" s="74">
        <f t="shared" si="50"/>
        <v>0.43931465710839723</v>
      </c>
      <c r="S115" s="72">
        <f>+S112+S86+S33+S101</f>
        <v>151018250669.73999</v>
      </c>
      <c r="T115" s="75">
        <f>+T112+T86+T33+T101</f>
        <v>150755731908.54999</v>
      </c>
    </row>
    <row r="116" spans="1:21" ht="16.5" customHeight="1" x14ac:dyDescent="0.25">
      <c r="A116" s="93" t="s">
        <v>3</v>
      </c>
      <c r="B116" s="84"/>
      <c r="C116" s="84"/>
      <c r="D116" s="84"/>
      <c r="E116" s="84"/>
      <c r="F116" s="84"/>
      <c r="G116" s="85" t="s">
        <v>4</v>
      </c>
      <c r="H116" s="84" t="s">
        <v>5</v>
      </c>
      <c r="I116" s="86">
        <v>11</v>
      </c>
      <c r="J116" s="72">
        <f>J113</f>
        <v>877200000</v>
      </c>
      <c r="K116" s="72">
        <f t="shared" ref="K116:L116" si="60">K113</f>
        <v>0</v>
      </c>
      <c r="L116" s="72">
        <f t="shared" si="60"/>
        <v>0</v>
      </c>
      <c r="M116" s="72">
        <f>M113</f>
        <v>877200000</v>
      </c>
      <c r="N116" s="72">
        <f>N113</f>
        <v>0</v>
      </c>
      <c r="O116" s="72">
        <f>O113</f>
        <v>0</v>
      </c>
      <c r="P116" s="72">
        <f>P113</f>
        <v>877200000</v>
      </c>
      <c r="Q116" s="72">
        <f>Q113</f>
        <v>0</v>
      </c>
      <c r="R116" s="74">
        <f t="shared" si="50"/>
        <v>0</v>
      </c>
      <c r="S116" s="72">
        <f>S113</f>
        <v>0</v>
      </c>
      <c r="T116" s="75">
        <f>T113</f>
        <v>0</v>
      </c>
    </row>
    <row r="117" spans="1:21" ht="16.5" customHeight="1" x14ac:dyDescent="0.25">
      <c r="A117" s="93" t="s">
        <v>3</v>
      </c>
      <c r="B117" s="84"/>
      <c r="C117" s="84"/>
      <c r="D117" s="84"/>
      <c r="E117" s="84"/>
      <c r="F117" s="84"/>
      <c r="G117" s="85" t="s">
        <v>4</v>
      </c>
      <c r="H117" s="84" t="s">
        <v>8</v>
      </c>
      <c r="I117" s="86">
        <v>20</v>
      </c>
      <c r="J117" s="72">
        <f t="shared" ref="J117:Q118" si="61">J87</f>
        <v>950000000</v>
      </c>
      <c r="K117" s="72">
        <f t="shared" si="61"/>
        <v>50000000</v>
      </c>
      <c r="L117" s="72">
        <f t="shared" si="61"/>
        <v>50000000</v>
      </c>
      <c r="M117" s="72">
        <f t="shared" si="61"/>
        <v>950000000</v>
      </c>
      <c r="N117" s="72">
        <f t="shared" si="61"/>
        <v>0</v>
      </c>
      <c r="O117" s="72">
        <f t="shared" si="61"/>
        <v>53002559.939999998</v>
      </c>
      <c r="P117" s="72">
        <f t="shared" si="61"/>
        <v>896997440.05999994</v>
      </c>
      <c r="Q117" s="72">
        <f t="shared" si="61"/>
        <v>53002559.939999998</v>
      </c>
      <c r="R117" s="74">
        <f t="shared" si="50"/>
        <v>5.5792168357894738E-2</v>
      </c>
      <c r="S117" s="72">
        <f>S87</f>
        <v>53002559.939999998</v>
      </c>
      <c r="T117" s="75">
        <f>T87</f>
        <v>48526342.939999998</v>
      </c>
    </row>
    <row r="118" spans="1:21" s="5" customFormat="1" ht="15" customHeight="1" x14ac:dyDescent="0.2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8</v>
      </c>
      <c r="I118" s="86">
        <v>21</v>
      </c>
      <c r="J118" s="72">
        <f t="shared" si="61"/>
        <v>475113000</v>
      </c>
      <c r="K118" s="72">
        <f t="shared" si="61"/>
        <v>0</v>
      </c>
      <c r="L118" s="72">
        <f t="shared" si="61"/>
        <v>0</v>
      </c>
      <c r="M118" s="72">
        <f t="shared" si="61"/>
        <v>475113000</v>
      </c>
      <c r="N118" s="72">
        <f t="shared" si="61"/>
        <v>0</v>
      </c>
      <c r="O118" s="72">
        <f t="shared" si="61"/>
        <v>111847545</v>
      </c>
      <c r="P118" s="72">
        <f t="shared" si="61"/>
        <v>363265455</v>
      </c>
      <c r="Q118" s="72">
        <f t="shared" si="61"/>
        <v>111847545</v>
      </c>
      <c r="R118" s="74">
        <f t="shared" si="50"/>
        <v>0.2354125123917889</v>
      </c>
      <c r="S118" s="72">
        <f>S88</f>
        <v>52988377</v>
      </c>
      <c r="T118" s="75">
        <f>T88</f>
        <v>0</v>
      </c>
      <c r="U118" s="46"/>
    </row>
    <row r="119" spans="1:21" ht="15.75" customHeight="1" thickBot="1" x14ac:dyDescent="0.3">
      <c r="A119" s="135" t="s">
        <v>28</v>
      </c>
      <c r="B119" s="136"/>
      <c r="C119" s="136"/>
      <c r="D119" s="136"/>
      <c r="E119" s="136"/>
      <c r="F119" s="136"/>
      <c r="G119" s="136"/>
      <c r="H119" s="136"/>
      <c r="I119" s="137"/>
      <c r="J119" s="41">
        <f>SUM(J115:J118)</f>
        <v>389542913000</v>
      </c>
      <c r="K119" s="41">
        <f t="shared" ref="K119:L119" si="62">SUM(K115:K118)</f>
        <v>5818131753.8899994</v>
      </c>
      <c r="L119" s="41">
        <f t="shared" si="62"/>
        <v>5818131753.8900003</v>
      </c>
      <c r="M119" s="41">
        <f>SUM(M115:M118)</f>
        <v>389542913000</v>
      </c>
      <c r="N119" s="41">
        <f>SUM(N115:N118)</f>
        <v>29515700000</v>
      </c>
      <c r="O119" s="41">
        <f>SUM(O115:O118)</f>
        <v>173088748067.39001</v>
      </c>
      <c r="P119" s="41">
        <f>SUM(P115:P118)</f>
        <v>186938464932.60999</v>
      </c>
      <c r="Q119" s="41">
        <f>SUM(Q115:Q118)</f>
        <v>170285321512.39001</v>
      </c>
      <c r="R119" s="43">
        <f>IF(Q119&gt;1,Q119/(M119),0)</f>
        <v>0.43714136704725526</v>
      </c>
      <c r="S119" s="41">
        <f>SUM(S115:S118)</f>
        <v>151124241606.67999</v>
      </c>
      <c r="T119" s="52">
        <f>SUM(T115:T118)</f>
        <v>150804258251.48999</v>
      </c>
    </row>
    <row r="120" spans="1:21" s="6" customFormat="1" ht="18.75" customHeight="1" thickBot="1" x14ac:dyDescent="0.3">
      <c r="A120" s="126" t="s">
        <v>31</v>
      </c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8"/>
    </row>
    <row r="121" spans="1:21" s="6" customFormat="1" ht="24.75" customHeight="1" x14ac:dyDescent="0.25">
      <c r="A121" s="90" t="s">
        <v>18</v>
      </c>
      <c r="B121" s="11">
        <v>2901</v>
      </c>
      <c r="C121" s="11"/>
      <c r="D121" s="11"/>
      <c r="E121" s="11"/>
      <c r="F121" s="11"/>
      <c r="G121" s="12" t="s">
        <v>99</v>
      </c>
      <c r="H121" s="11" t="s">
        <v>5</v>
      </c>
      <c r="I121" s="13">
        <v>10</v>
      </c>
      <c r="J121" s="24">
        <f>J123+J125+J127+J131+J135+J144+J148+J139</f>
        <v>60058296000</v>
      </c>
      <c r="K121" s="24">
        <f t="shared" ref="K121:Q121" si="63">K123+K125+K127+K131+K135+K144+K148+K139</f>
        <v>0</v>
      </c>
      <c r="L121" s="24">
        <f t="shared" si="63"/>
        <v>0</v>
      </c>
      <c r="M121" s="24">
        <f t="shared" si="63"/>
        <v>60058296000</v>
      </c>
      <c r="N121" s="14">
        <f t="shared" si="63"/>
        <v>0</v>
      </c>
      <c r="O121" s="88">
        <f t="shared" si="63"/>
        <v>40071263336.410004</v>
      </c>
      <c r="P121" s="24">
        <f t="shared" si="63"/>
        <v>19987032663.59</v>
      </c>
      <c r="Q121" s="14">
        <f t="shared" si="63"/>
        <v>25730518685.41</v>
      </c>
      <c r="R121" s="26">
        <f t="shared" ref="R121:R179" si="64">IF(Q121&gt;1,Q121/(M121),0)</f>
        <v>0.42842571966094412</v>
      </c>
      <c r="S121" s="14">
        <f t="shared" ref="S121" si="65">S123+S125+S127+S131+S135+S144+S148+S139</f>
        <v>3466858007.4300003</v>
      </c>
      <c r="T121" s="22">
        <f>T123+T125+T127+T131+T135+T144+T148+T139</f>
        <v>3466858007.4300003</v>
      </c>
    </row>
    <row r="122" spans="1:21" ht="33" customHeight="1" x14ac:dyDescent="0.25">
      <c r="A122" s="90" t="s">
        <v>18</v>
      </c>
      <c r="B122" s="11">
        <v>2901</v>
      </c>
      <c r="C122" s="11"/>
      <c r="D122" s="11"/>
      <c r="E122" s="11"/>
      <c r="F122" s="11"/>
      <c r="G122" s="12" t="s">
        <v>99</v>
      </c>
      <c r="H122" s="11" t="s">
        <v>8</v>
      </c>
      <c r="I122" s="13">
        <v>21</v>
      </c>
      <c r="J122" s="14">
        <f>J132+J140</f>
        <v>1194647000</v>
      </c>
      <c r="K122" s="14">
        <f t="shared" ref="K122:Q122" si="66">K132+K140</f>
        <v>0</v>
      </c>
      <c r="L122" s="24">
        <f t="shared" si="66"/>
        <v>0</v>
      </c>
      <c r="M122" s="24">
        <f t="shared" si="66"/>
        <v>1194647000</v>
      </c>
      <c r="N122" s="14">
        <f t="shared" si="66"/>
        <v>0</v>
      </c>
      <c r="O122" s="14">
        <f t="shared" si="66"/>
        <v>1194647000</v>
      </c>
      <c r="P122" s="24">
        <f t="shared" si="66"/>
        <v>0</v>
      </c>
      <c r="Q122" s="14">
        <f t="shared" si="66"/>
        <v>1194647000</v>
      </c>
      <c r="R122" s="26">
        <f t="shared" si="64"/>
        <v>1</v>
      </c>
      <c r="S122" s="14">
        <f>S132+S140</f>
        <v>0</v>
      </c>
      <c r="T122" s="22">
        <f>T132+T140</f>
        <v>0</v>
      </c>
    </row>
    <row r="123" spans="1:21" ht="33" customHeight="1" x14ac:dyDescent="0.25">
      <c r="A123" s="95" t="s">
        <v>18</v>
      </c>
      <c r="B123" s="98" t="s">
        <v>89</v>
      </c>
      <c r="C123" s="98" t="s">
        <v>90</v>
      </c>
      <c r="D123" s="98" t="s">
        <v>91</v>
      </c>
      <c r="E123" s="11"/>
      <c r="F123" s="11"/>
      <c r="G123" s="12" t="s">
        <v>195</v>
      </c>
      <c r="H123" s="98" t="s">
        <v>5</v>
      </c>
      <c r="I123" s="99">
        <v>10</v>
      </c>
      <c r="J123" s="14">
        <f>J124</f>
        <v>11474400000</v>
      </c>
      <c r="K123" s="14">
        <f t="shared" ref="K123:N123" si="67">K124</f>
        <v>0</v>
      </c>
      <c r="L123" s="24">
        <f t="shared" si="67"/>
        <v>0</v>
      </c>
      <c r="M123" s="24">
        <f>M124</f>
        <v>11474400000</v>
      </c>
      <c r="N123" s="14">
        <f t="shared" si="67"/>
        <v>0</v>
      </c>
      <c r="O123" s="14">
        <f>O124</f>
        <v>10496289787.450001</v>
      </c>
      <c r="P123" s="24">
        <f>P124</f>
        <v>978110212.54999924</v>
      </c>
      <c r="Q123" s="14">
        <f>Q124</f>
        <v>5806791530.4499998</v>
      </c>
      <c r="R123" s="26">
        <f t="shared" si="64"/>
        <v>0.50606493851094614</v>
      </c>
      <c r="S123" s="14">
        <f>S124</f>
        <v>258607505.47</v>
      </c>
      <c r="T123" s="22">
        <f>T124</f>
        <v>258607505.47</v>
      </c>
    </row>
    <row r="124" spans="1:21" ht="50.25" customHeight="1" x14ac:dyDescent="0.25">
      <c r="A124" s="94" t="s">
        <v>18</v>
      </c>
      <c r="B124" s="56" t="s">
        <v>89</v>
      </c>
      <c r="C124" s="56" t="s">
        <v>90</v>
      </c>
      <c r="D124" s="56" t="s">
        <v>91</v>
      </c>
      <c r="E124" s="56" t="s">
        <v>218</v>
      </c>
      <c r="F124" s="56" t="s">
        <v>150</v>
      </c>
      <c r="G124" s="23" t="s">
        <v>168</v>
      </c>
      <c r="H124" s="56" t="s">
        <v>5</v>
      </c>
      <c r="I124" s="57">
        <v>10</v>
      </c>
      <c r="J124" s="44">
        <v>11474400000</v>
      </c>
      <c r="K124" s="44">
        <v>0</v>
      </c>
      <c r="L124" s="44"/>
      <c r="M124" s="44">
        <f>J124+K124-L124</f>
        <v>11474400000</v>
      </c>
      <c r="N124" s="44">
        <v>0</v>
      </c>
      <c r="O124" s="44">
        <v>10496289787.450001</v>
      </c>
      <c r="P124" s="44">
        <f t="shared" ref="P124:P149" si="68">+M124-O124-N124</f>
        <v>978110212.54999924</v>
      </c>
      <c r="Q124" s="58">
        <v>5806791530.4499998</v>
      </c>
      <c r="R124" s="25">
        <f t="shared" si="64"/>
        <v>0.50606493851094614</v>
      </c>
      <c r="S124" s="58">
        <v>258607505.47</v>
      </c>
      <c r="T124" s="59">
        <v>258607505.47</v>
      </c>
    </row>
    <row r="125" spans="1:21" ht="50.25" customHeight="1" x14ac:dyDescent="0.25">
      <c r="A125" s="95" t="s">
        <v>18</v>
      </c>
      <c r="B125" s="98" t="s">
        <v>89</v>
      </c>
      <c r="C125" s="98" t="s">
        <v>90</v>
      </c>
      <c r="D125" s="98" t="s">
        <v>6</v>
      </c>
      <c r="E125" s="98"/>
      <c r="F125" s="98"/>
      <c r="G125" s="12" t="s">
        <v>196</v>
      </c>
      <c r="H125" s="98" t="s">
        <v>5</v>
      </c>
      <c r="I125" s="99">
        <v>10</v>
      </c>
      <c r="J125" s="48">
        <f>J126</f>
        <v>300000000</v>
      </c>
      <c r="K125" s="48">
        <f t="shared" ref="K125:L125" si="69">K126</f>
        <v>0</v>
      </c>
      <c r="L125" s="48">
        <f t="shared" si="69"/>
        <v>0</v>
      </c>
      <c r="M125" s="48">
        <f>M126</f>
        <v>300000000</v>
      </c>
      <c r="N125" s="48">
        <f t="shared" ref="N125:T125" si="70">N126</f>
        <v>0</v>
      </c>
      <c r="O125" s="48">
        <f>O126</f>
        <v>225508466</v>
      </c>
      <c r="P125" s="48">
        <f>P126</f>
        <v>74491534</v>
      </c>
      <c r="Q125" s="100">
        <f t="shared" si="70"/>
        <v>225508466</v>
      </c>
      <c r="R125" s="26">
        <f t="shared" si="64"/>
        <v>0.75169488666666662</v>
      </c>
      <c r="S125" s="100">
        <f t="shared" si="70"/>
        <v>0</v>
      </c>
      <c r="T125" s="101">
        <f t="shared" si="70"/>
        <v>0</v>
      </c>
    </row>
    <row r="126" spans="1:21" ht="46.5" customHeight="1" x14ac:dyDescent="0.25">
      <c r="A126" s="94" t="s">
        <v>18</v>
      </c>
      <c r="B126" s="56" t="s">
        <v>89</v>
      </c>
      <c r="C126" s="56" t="s">
        <v>90</v>
      </c>
      <c r="D126" s="56" t="s">
        <v>6</v>
      </c>
      <c r="E126" s="56" t="s">
        <v>218</v>
      </c>
      <c r="F126" s="56" t="s">
        <v>151</v>
      </c>
      <c r="G126" s="23" t="s">
        <v>169</v>
      </c>
      <c r="H126" s="56" t="s">
        <v>5</v>
      </c>
      <c r="I126" s="57">
        <v>10</v>
      </c>
      <c r="J126" s="58">
        <v>300000000</v>
      </c>
      <c r="K126" s="44">
        <v>0</v>
      </c>
      <c r="L126" s="44"/>
      <c r="M126" s="44">
        <f t="shared" ref="M126:M152" si="71">J126+K126-L126</f>
        <v>300000000</v>
      </c>
      <c r="N126" s="113">
        <v>0</v>
      </c>
      <c r="O126" s="44">
        <v>225508466</v>
      </c>
      <c r="P126" s="44">
        <f t="shared" si="68"/>
        <v>74491534</v>
      </c>
      <c r="Q126" s="58">
        <v>225508466</v>
      </c>
      <c r="R126" s="25">
        <f t="shared" si="64"/>
        <v>0.75169488666666662</v>
      </c>
      <c r="S126" s="58">
        <v>0</v>
      </c>
      <c r="T126" s="59">
        <v>0</v>
      </c>
    </row>
    <row r="127" spans="1:21" s="102" customFormat="1" ht="51.75" customHeight="1" x14ac:dyDescent="0.25">
      <c r="A127" s="95" t="s">
        <v>18</v>
      </c>
      <c r="B127" s="98" t="s">
        <v>89</v>
      </c>
      <c r="C127" s="98" t="s">
        <v>90</v>
      </c>
      <c r="D127" s="98" t="s">
        <v>7</v>
      </c>
      <c r="E127" s="98"/>
      <c r="F127" s="98"/>
      <c r="G127" s="12" t="s">
        <v>211</v>
      </c>
      <c r="H127" s="98" t="s">
        <v>5</v>
      </c>
      <c r="I127" s="99">
        <v>10</v>
      </c>
      <c r="J127" s="100">
        <f>J128+J129+J130</f>
        <v>4994096000</v>
      </c>
      <c r="K127" s="48">
        <f t="shared" ref="K127:N127" si="72">K128+K129+K130</f>
        <v>0</v>
      </c>
      <c r="L127" s="48">
        <f t="shared" si="72"/>
        <v>0</v>
      </c>
      <c r="M127" s="48">
        <f>M128+M129+M130</f>
        <v>4994096000</v>
      </c>
      <c r="N127" s="48">
        <f t="shared" si="72"/>
        <v>0</v>
      </c>
      <c r="O127" s="48">
        <f>O128+O129+O130</f>
        <v>3353218381</v>
      </c>
      <c r="P127" s="48">
        <f>P128+P129+P130</f>
        <v>1640877619</v>
      </c>
      <c r="Q127" s="48">
        <f>Q128+Q129+Q130</f>
        <v>2283471649</v>
      </c>
      <c r="R127" s="26">
        <f t="shared" si="64"/>
        <v>0.45723423198112328</v>
      </c>
      <c r="S127" s="48">
        <f>S128+S129+S130</f>
        <v>567236200</v>
      </c>
      <c r="T127" s="101">
        <f>T128+T129+T130</f>
        <v>567236200</v>
      </c>
    </row>
    <row r="128" spans="1:21" ht="65.25" customHeight="1" x14ac:dyDescent="0.25">
      <c r="A128" s="94" t="s">
        <v>18</v>
      </c>
      <c r="B128" s="56" t="s">
        <v>89</v>
      </c>
      <c r="C128" s="56" t="s">
        <v>90</v>
      </c>
      <c r="D128" s="56" t="s">
        <v>7</v>
      </c>
      <c r="E128" s="56" t="s">
        <v>219</v>
      </c>
      <c r="F128" s="56" t="s">
        <v>152</v>
      </c>
      <c r="G128" s="23" t="s">
        <v>170</v>
      </c>
      <c r="H128" s="56" t="s">
        <v>5</v>
      </c>
      <c r="I128" s="57">
        <v>10</v>
      </c>
      <c r="J128" s="44">
        <v>1818315235</v>
      </c>
      <c r="K128" s="44">
        <v>0</v>
      </c>
      <c r="L128" s="44"/>
      <c r="M128" s="44">
        <f t="shared" si="71"/>
        <v>1818315235</v>
      </c>
      <c r="N128" s="44">
        <v>0</v>
      </c>
      <c r="O128" s="44">
        <v>828779840</v>
      </c>
      <c r="P128" s="44">
        <f t="shared" si="68"/>
        <v>989535395</v>
      </c>
      <c r="Q128" s="58">
        <v>58684850</v>
      </c>
      <c r="R128" s="25">
        <f t="shared" si="64"/>
        <v>3.2274299236127776E-2</v>
      </c>
      <c r="S128" s="58">
        <v>0</v>
      </c>
      <c r="T128" s="59">
        <v>0</v>
      </c>
    </row>
    <row r="129" spans="1:20" ht="76.5" customHeight="1" x14ac:dyDescent="0.25">
      <c r="A129" s="94" t="s">
        <v>18</v>
      </c>
      <c r="B129" s="56" t="s">
        <v>89</v>
      </c>
      <c r="C129" s="56" t="s">
        <v>90</v>
      </c>
      <c r="D129" s="56" t="s">
        <v>7</v>
      </c>
      <c r="E129" s="56" t="s">
        <v>219</v>
      </c>
      <c r="F129" s="56" t="s">
        <v>153</v>
      </c>
      <c r="G129" s="23" t="s">
        <v>171</v>
      </c>
      <c r="H129" s="56" t="s">
        <v>5</v>
      </c>
      <c r="I129" s="57">
        <v>10</v>
      </c>
      <c r="J129" s="44">
        <v>2064577180</v>
      </c>
      <c r="K129" s="44"/>
      <c r="L129" s="44">
        <v>0</v>
      </c>
      <c r="M129" s="44">
        <f t="shared" si="71"/>
        <v>2064577180</v>
      </c>
      <c r="N129" s="44">
        <v>0</v>
      </c>
      <c r="O129" s="44">
        <v>2039335534</v>
      </c>
      <c r="P129" s="44">
        <f t="shared" ref="P129:P130" si="73">+M129-O129-N129</f>
        <v>25241646</v>
      </c>
      <c r="Q129" s="58">
        <v>2001514792</v>
      </c>
      <c r="R129" s="25">
        <f t="shared" si="64"/>
        <v>0.96945505907412965</v>
      </c>
      <c r="S129" s="58">
        <v>567236200</v>
      </c>
      <c r="T129" s="59">
        <v>567236200</v>
      </c>
    </row>
    <row r="130" spans="1:20" ht="63.75" customHeight="1" x14ac:dyDescent="0.25">
      <c r="A130" s="94" t="s">
        <v>18</v>
      </c>
      <c r="B130" s="56" t="s">
        <v>89</v>
      </c>
      <c r="C130" s="56" t="s">
        <v>90</v>
      </c>
      <c r="D130" s="56" t="s">
        <v>7</v>
      </c>
      <c r="E130" s="56" t="s">
        <v>219</v>
      </c>
      <c r="F130" s="56" t="s">
        <v>154</v>
      </c>
      <c r="G130" s="23" t="s">
        <v>172</v>
      </c>
      <c r="H130" s="56" t="s">
        <v>5</v>
      </c>
      <c r="I130" s="57">
        <v>10</v>
      </c>
      <c r="J130" s="44">
        <v>1111203585</v>
      </c>
      <c r="K130" s="44">
        <v>0</v>
      </c>
      <c r="L130" s="44">
        <v>0</v>
      </c>
      <c r="M130" s="44">
        <f t="shared" si="71"/>
        <v>1111203585</v>
      </c>
      <c r="N130" s="44">
        <v>0</v>
      </c>
      <c r="O130" s="44">
        <v>485103007</v>
      </c>
      <c r="P130" s="44">
        <f t="shared" si="73"/>
        <v>626100578</v>
      </c>
      <c r="Q130" s="58">
        <v>223272007</v>
      </c>
      <c r="R130" s="25">
        <f t="shared" si="64"/>
        <v>0.20092808375883706</v>
      </c>
      <c r="S130" s="58">
        <v>0</v>
      </c>
      <c r="T130" s="59">
        <v>0</v>
      </c>
    </row>
    <row r="131" spans="1:20" ht="49.5" customHeight="1" x14ac:dyDescent="0.25">
      <c r="A131" s="95" t="s">
        <v>18</v>
      </c>
      <c r="B131" s="98" t="s">
        <v>89</v>
      </c>
      <c r="C131" s="98" t="s">
        <v>90</v>
      </c>
      <c r="D131" s="98" t="s">
        <v>92</v>
      </c>
      <c r="E131" s="98"/>
      <c r="F131" s="98"/>
      <c r="G131" s="12" t="s">
        <v>197</v>
      </c>
      <c r="H131" s="98" t="s">
        <v>5</v>
      </c>
      <c r="I131" s="99">
        <v>10</v>
      </c>
      <c r="J131" s="48">
        <f>J133</f>
        <v>4917600000</v>
      </c>
      <c r="K131" s="48">
        <f t="shared" ref="K131:T131" si="74">K133</f>
        <v>0</v>
      </c>
      <c r="L131" s="48">
        <f t="shared" si="74"/>
        <v>0</v>
      </c>
      <c r="M131" s="48">
        <f>M133</f>
        <v>4917600000</v>
      </c>
      <c r="N131" s="48">
        <f t="shared" si="74"/>
        <v>0</v>
      </c>
      <c r="O131" s="48">
        <f t="shared" si="74"/>
        <v>4776920454</v>
      </c>
      <c r="P131" s="48">
        <f>P133</f>
        <v>140679546</v>
      </c>
      <c r="Q131" s="48">
        <f t="shared" si="74"/>
        <v>4678499289</v>
      </c>
      <c r="R131" s="26">
        <f t="shared" si="64"/>
        <v>0.95137857674475357</v>
      </c>
      <c r="S131" s="100">
        <f t="shared" si="74"/>
        <v>948852191</v>
      </c>
      <c r="T131" s="101">
        <f t="shared" si="74"/>
        <v>948852191</v>
      </c>
    </row>
    <row r="132" spans="1:20" ht="49.5" customHeight="1" x14ac:dyDescent="0.25">
      <c r="A132" s="95" t="s">
        <v>18</v>
      </c>
      <c r="B132" s="98" t="s">
        <v>89</v>
      </c>
      <c r="C132" s="98" t="s">
        <v>90</v>
      </c>
      <c r="D132" s="98" t="s">
        <v>92</v>
      </c>
      <c r="E132" s="98"/>
      <c r="F132" s="98"/>
      <c r="G132" s="12" t="s">
        <v>197</v>
      </c>
      <c r="H132" s="98" t="s">
        <v>8</v>
      </c>
      <c r="I132" s="99">
        <v>21</v>
      </c>
      <c r="J132" s="48">
        <f>J134</f>
        <v>2880000</v>
      </c>
      <c r="K132" s="48">
        <f t="shared" ref="K132:T132" si="75">K134</f>
        <v>0</v>
      </c>
      <c r="L132" s="48">
        <f t="shared" si="75"/>
        <v>0</v>
      </c>
      <c r="M132" s="48">
        <f t="shared" si="75"/>
        <v>2880000</v>
      </c>
      <c r="N132" s="48">
        <f t="shared" si="75"/>
        <v>0</v>
      </c>
      <c r="O132" s="48">
        <f t="shared" si="75"/>
        <v>2880000</v>
      </c>
      <c r="P132" s="48">
        <f>P134</f>
        <v>0</v>
      </c>
      <c r="Q132" s="100">
        <f t="shared" si="75"/>
        <v>2880000</v>
      </c>
      <c r="R132" s="26">
        <f t="shared" si="64"/>
        <v>1</v>
      </c>
      <c r="S132" s="100">
        <f t="shared" si="75"/>
        <v>0</v>
      </c>
      <c r="T132" s="101">
        <f t="shared" si="75"/>
        <v>0</v>
      </c>
    </row>
    <row r="133" spans="1:20" ht="33.75" customHeight="1" x14ac:dyDescent="0.25">
      <c r="A133" s="94" t="s">
        <v>18</v>
      </c>
      <c r="B133" s="56" t="s">
        <v>89</v>
      </c>
      <c r="C133" s="56" t="s">
        <v>90</v>
      </c>
      <c r="D133" s="56" t="s">
        <v>92</v>
      </c>
      <c r="E133" s="56" t="s">
        <v>144</v>
      </c>
      <c r="F133" s="56" t="s">
        <v>148</v>
      </c>
      <c r="G133" s="23" t="s">
        <v>173</v>
      </c>
      <c r="H133" s="56" t="s">
        <v>5</v>
      </c>
      <c r="I133" s="57">
        <v>10</v>
      </c>
      <c r="J133" s="58">
        <v>4917600000</v>
      </c>
      <c r="K133" s="58">
        <v>0</v>
      </c>
      <c r="L133" s="44">
        <v>0</v>
      </c>
      <c r="M133" s="44">
        <f t="shared" si="71"/>
        <v>4917600000</v>
      </c>
      <c r="N133" s="44">
        <v>0</v>
      </c>
      <c r="O133" s="44">
        <v>4776920454</v>
      </c>
      <c r="P133" s="44">
        <f t="shared" si="68"/>
        <v>140679546</v>
      </c>
      <c r="Q133" s="58">
        <v>4678499289</v>
      </c>
      <c r="R133" s="25">
        <f t="shared" si="64"/>
        <v>0.95137857674475357</v>
      </c>
      <c r="S133" s="58">
        <v>948852191</v>
      </c>
      <c r="T133" s="59">
        <v>948852191</v>
      </c>
    </row>
    <row r="134" spans="1:20" ht="41.25" customHeight="1" x14ac:dyDescent="0.25">
      <c r="A134" s="94" t="s">
        <v>18</v>
      </c>
      <c r="B134" s="56" t="s">
        <v>89</v>
      </c>
      <c r="C134" s="56" t="s">
        <v>90</v>
      </c>
      <c r="D134" s="56" t="s">
        <v>92</v>
      </c>
      <c r="E134" s="56" t="s">
        <v>144</v>
      </c>
      <c r="F134" s="56" t="s">
        <v>149</v>
      </c>
      <c r="G134" s="23" t="s">
        <v>174</v>
      </c>
      <c r="H134" s="56" t="s">
        <v>8</v>
      </c>
      <c r="I134" s="57">
        <v>21</v>
      </c>
      <c r="J134" s="58">
        <v>2880000</v>
      </c>
      <c r="K134" s="58">
        <v>0</v>
      </c>
      <c r="L134" s="44">
        <v>0</v>
      </c>
      <c r="M134" s="44">
        <f t="shared" si="71"/>
        <v>2880000</v>
      </c>
      <c r="N134" s="44">
        <v>0</v>
      </c>
      <c r="O134" s="44">
        <v>2880000</v>
      </c>
      <c r="P134" s="44">
        <f t="shared" si="68"/>
        <v>0</v>
      </c>
      <c r="Q134" s="58">
        <v>2880000</v>
      </c>
      <c r="R134" s="25">
        <f t="shared" si="64"/>
        <v>1</v>
      </c>
      <c r="S134" s="58">
        <v>0</v>
      </c>
      <c r="T134" s="59">
        <v>0</v>
      </c>
    </row>
    <row r="135" spans="1:20" ht="51.75" customHeight="1" x14ac:dyDescent="0.25">
      <c r="A135" s="95" t="s">
        <v>18</v>
      </c>
      <c r="B135" s="98" t="s">
        <v>89</v>
      </c>
      <c r="C135" s="98" t="s">
        <v>90</v>
      </c>
      <c r="D135" s="98" t="s">
        <v>93</v>
      </c>
      <c r="E135" s="98"/>
      <c r="F135" s="98"/>
      <c r="G135" s="12" t="s">
        <v>198</v>
      </c>
      <c r="H135" s="98" t="s">
        <v>5</v>
      </c>
      <c r="I135" s="99">
        <v>10</v>
      </c>
      <c r="J135" s="100">
        <f>J136+J137+J138</f>
        <v>4764608000</v>
      </c>
      <c r="K135" s="100">
        <f>K136+K137+K138</f>
        <v>0</v>
      </c>
      <c r="L135" s="48">
        <f>L136+L137+L138</f>
        <v>0</v>
      </c>
      <c r="M135" s="48">
        <f t="shared" ref="M135:T135" si="76">M136+M137+M138</f>
        <v>4764608000</v>
      </c>
      <c r="N135" s="48">
        <f t="shared" si="76"/>
        <v>0</v>
      </c>
      <c r="O135" s="48">
        <f t="shared" si="76"/>
        <v>4182728348</v>
      </c>
      <c r="P135" s="48">
        <f>P136+P137+P138</f>
        <v>581879652</v>
      </c>
      <c r="Q135" s="100">
        <f t="shared" si="76"/>
        <v>3205330948</v>
      </c>
      <c r="R135" s="26">
        <f t="shared" si="64"/>
        <v>0.67273759939957289</v>
      </c>
      <c r="S135" s="100">
        <f t="shared" si="76"/>
        <v>957842938</v>
      </c>
      <c r="T135" s="101">
        <f t="shared" si="76"/>
        <v>957842938</v>
      </c>
    </row>
    <row r="136" spans="1:20" ht="58.5" customHeight="1" x14ac:dyDescent="0.25">
      <c r="A136" s="94" t="s">
        <v>18</v>
      </c>
      <c r="B136" s="56" t="s">
        <v>89</v>
      </c>
      <c r="C136" s="56" t="s">
        <v>90</v>
      </c>
      <c r="D136" s="56" t="s">
        <v>93</v>
      </c>
      <c r="E136" s="56" t="s">
        <v>220</v>
      </c>
      <c r="F136" s="56" t="s">
        <v>155</v>
      </c>
      <c r="G136" s="23" t="s">
        <v>175</v>
      </c>
      <c r="H136" s="56" t="s">
        <v>5</v>
      </c>
      <c r="I136" s="57">
        <v>10</v>
      </c>
      <c r="J136" s="44">
        <v>3205330979</v>
      </c>
      <c r="K136" s="44"/>
      <c r="L136" s="44">
        <v>0</v>
      </c>
      <c r="M136" s="44">
        <f t="shared" si="71"/>
        <v>3205330979</v>
      </c>
      <c r="N136" s="44">
        <v>0</v>
      </c>
      <c r="O136" s="44">
        <v>3205330948</v>
      </c>
      <c r="P136" s="44">
        <f t="shared" si="68"/>
        <v>31</v>
      </c>
      <c r="Q136" s="58">
        <v>3205330948</v>
      </c>
      <c r="R136" s="25">
        <f t="shared" si="64"/>
        <v>0.99999999032861187</v>
      </c>
      <c r="S136" s="58">
        <v>957842938</v>
      </c>
      <c r="T136" s="59">
        <v>957842938</v>
      </c>
    </row>
    <row r="137" spans="1:20" ht="57.75" customHeight="1" x14ac:dyDescent="0.25">
      <c r="A137" s="94" t="s">
        <v>18</v>
      </c>
      <c r="B137" s="56" t="s">
        <v>89</v>
      </c>
      <c r="C137" s="56" t="s">
        <v>90</v>
      </c>
      <c r="D137" s="56" t="s">
        <v>93</v>
      </c>
      <c r="E137" s="56" t="s">
        <v>220</v>
      </c>
      <c r="F137" s="56" t="s">
        <v>156</v>
      </c>
      <c r="G137" s="23" t="s">
        <v>176</v>
      </c>
      <c r="H137" s="56" t="s">
        <v>5</v>
      </c>
      <c r="I137" s="57">
        <v>10</v>
      </c>
      <c r="J137" s="44">
        <v>1323487621</v>
      </c>
      <c r="K137" s="44">
        <v>0</v>
      </c>
      <c r="L137" s="44"/>
      <c r="M137" s="44">
        <f t="shared" si="71"/>
        <v>1323487621</v>
      </c>
      <c r="N137" s="44">
        <v>0</v>
      </c>
      <c r="O137" s="44">
        <v>741608000</v>
      </c>
      <c r="P137" s="44">
        <f t="shared" ref="P137:P138" si="77">+M137-O137-N137</f>
        <v>581879621</v>
      </c>
      <c r="Q137" s="58">
        <v>0</v>
      </c>
      <c r="R137" s="25">
        <f t="shared" si="64"/>
        <v>0</v>
      </c>
      <c r="S137" s="58">
        <v>0</v>
      </c>
      <c r="T137" s="59">
        <v>0</v>
      </c>
    </row>
    <row r="138" spans="1:20" ht="57" customHeight="1" x14ac:dyDescent="0.25">
      <c r="A138" s="94" t="s">
        <v>18</v>
      </c>
      <c r="B138" s="56" t="s">
        <v>89</v>
      </c>
      <c r="C138" s="56" t="s">
        <v>90</v>
      </c>
      <c r="D138" s="56" t="s">
        <v>93</v>
      </c>
      <c r="E138" s="56" t="s">
        <v>220</v>
      </c>
      <c r="F138" s="56" t="s">
        <v>157</v>
      </c>
      <c r="G138" s="23" t="s">
        <v>177</v>
      </c>
      <c r="H138" s="56" t="s">
        <v>5</v>
      </c>
      <c r="I138" s="57">
        <v>10</v>
      </c>
      <c r="J138" s="44">
        <v>235789400</v>
      </c>
      <c r="K138" s="44">
        <v>0</v>
      </c>
      <c r="L138" s="44"/>
      <c r="M138" s="44">
        <f t="shared" si="71"/>
        <v>235789400</v>
      </c>
      <c r="N138" s="44">
        <v>0</v>
      </c>
      <c r="O138" s="44">
        <v>235789400</v>
      </c>
      <c r="P138" s="44">
        <f t="shared" si="77"/>
        <v>0</v>
      </c>
      <c r="Q138" s="58">
        <v>0</v>
      </c>
      <c r="R138" s="25">
        <f t="shared" si="64"/>
        <v>0</v>
      </c>
      <c r="S138" s="58">
        <v>0</v>
      </c>
      <c r="T138" s="59">
        <v>0</v>
      </c>
    </row>
    <row r="139" spans="1:20" ht="48" customHeight="1" x14ac:dyDescent="0.25">
      <c r="A139" s="95" t="s">
        <v>18</v>
      </c>
      <c r="B139" s="98" t="s">
        <v>89</v>
      </c>
      <c r="C139" s="98" t="s">
        <v>90</v>
      </c>
      <c r="D139" s="98" t="s">
        <v>94</v>
      </c>
      <c r="E139" s="98"/>
      <c r="F139" s="98"/>
      <c r="G139" s="12" t="s">
        <v>199</v>
      </c>
      <c r="H139" s="98" t="s">
        <v>5</v>
      </c>
      <c r="I139" s="99">
        <v>10</v>
      </c>
      <c r="J139" s="48">
        <f>J141+J142</f>
        <v>9851592000</v>
      </c>
      <c r="K139" s="48">
        <f t="shared" ref="K139:Q139" si="78">K141+K142</f>
        <v>0</v>
      </c>
      <c r="L139" s="48">
        <f t="shared" si="78"/>
        <v>0</v>
      </c>
      <c r="M139" s="48">
        <f t="shared" si="78"/>
        <v>9851592000</v>
      </c>
      <c r="N139" s="48">
        <f t="shared" si="78"/>
        <v>0</v>
      </c>
      <c r="O139" s="48">
        <f t="shared" si="78"/>
        <v>7248399619.96</v>
      </c>
      <c r="P139" s="48">
        <f t="shared" si="78"/>
        <v>2603192380.04</v>
      </c>
      <c r="Q139" s="100">
        <f t="shared" si="78"/>
        <v>3400448133.96</v>
      </c>
      <c r="R139" s="26">
        <f t="shared" si="64"/>
        <v>0.34516737335041892</v>
      </c>
      <c r="S139" s="100">
        <f t="shared" ref="S139:T139" si="79">S141+S142</f>
        <v>198713052.96000001</v>
      </c>
      <c r="T139" s="101">
        <f t="shared" si="79"/>
        <v>198713052.96000001</v>
      </c>
    </row>
    <row r="140" spans="1:20" ht="46.5" customHeight="1" x14ac:dyDescent="0.25">
      <c r="A140" s="95" t="s">
        <v>18</v>
      </c>
      <c r="B140" s="98" t="s">
        <v>89</v>
      </c>
      <c r="C140" s="98" t="s">
        <v>90</v>
      </c>
      <c r="D140" s="98" t="s">
        <v>94</v>
      </c>
      <c r="E140" s="98"/>
      <c r="F140" s="98"/>
      <c r="G140" s="117" t="s">
        <v>199</v>
      </c>
      <c r="H140" s="98" t="s">
        <v>5</v>
      </c>
      <c r="I140" s="99">
        <v>21</v>
      </c>
      <c r="J140" s="100">
        <f>J143</f>
        <v>1191767000</v>
      </c>
      <c r="K140" s="100">
        <f t="shared" ref="K140:Q140" si="80">K143</f>
        <v>0</v>
      </c>
      <c r="L140" s="48">
        <f t="shared" si="80"/>
        <v>0</v>
      </c>
      <c r="M140" s="48">
        <f t="shared" si="80"/>
        <v>1191767000</v>
      </c>
      <c r="N140" s="48">
        <f t="shared" si="80"/>
        <v>0</v>
      </c>
      <c r="O140" s="48">
        <f t="shared" si="80"/>
        <v>1191767000</v>
      </c>
      <c r="P140" s="48">
        <f t="shared" si="80"/>
        <v>0</v>
      </c>
      <c r="Q140" s="100">
        <f t="shared" si="80"/>
        <v>1191767000</v>
      </c>
      <c r="R140" s="26">
        <f t="shared" si="64"/>
        <v>1</v>
      </c>
      <c r="S140" s="100">
        <f t="shared" ref="S140:T140" si="81">S143</f>
        <v>0</v>
      </c>
      <c r="T140" s="101">
        <f t="shared" si="81"/>
        <v>0</v>
      </c>
    </row>
    <row r="141" spans="1:20" ht="46.5" customHeight="1" x14ac:dyDescent="0.25">
      <c r="A141" s="94" t="s">
        <v>18</v>
      </c>
      <c r="B141" s="56" t="s">
        <v>89</v>
      </c>
      <c r="C141" s="56" t="s">
        <v>90</v>
      </c>
      <c r="D141" s="56" t="s">
        <v>94</v>
      </c>
      <c r="E141" s="56" t="s">
        <v>218</v>
      </c>
      <c r="F141" s="56" t="s">
        <v>158</v>
      </c>
      <c r="G141" s="23" t="s">
        <v>178</v>
      </c>
      <c r="H141" s="56" t="s">
        <v>5</v>
      </c>
      <c r="I141" s="57">
        <v>10</v>
      </c>
      <c r="J141" s="58">
        <v>4332952000</v>
      </c>
      <c r="K141" s="58">
        <v>0</v>
      </c>
      <c r="L141" s="44"/>
      <c r="M141" s="44">
        <f>J141+K141-L141</f>
        <v>4332952000</v>
      </c>
      <c r="N141" s="44">
        <v>0</v>
      </c>
      <c r="O141" s="44">
        <v>4019396739</v>
      </c>
      <c r="P141" s="44">
        <f>+M141-O141-N141</f>
        <v>313555261</v>
      </c>
      <c r="Q141" s="58">
        <v>2453812994</v>
      </c>
      <c r="R141" s="25">
        <f t="shared" si="64"/>
        <v>0.56631437274172436</v>
      </c>
      <c r="S141" s="58">
        <v>0</v>
      </c>
      <c r="T141" s="59">
        <v>0</v>
      </c>
    </row>
    <row r="142" spans="1:20" ht="41.25" customHeight="1" x14ac:dyDescent="0.25">
      <c r="A142" s="94" t="s">
        <v>18</v>
      </c>
      <c r="B142" s="56" t="s">
        <v>89</v>
      </c>
      <c r="C142" s="56" t="s">
        <v>90</v>
      </c>
      <c r="D142" s="56" t="s">
        <v>94</v>
      </c>
      <c r="E142" s="56" t="s">
        <v>218</v>
      </c>
      <c r="F142" s="56" t="s">
        <v>159</v>
      </c>
      <c r="G142" s="23" t="s">
        <v>179</v>
      </c>
      <c r="H142" s="56" t="s">
        <v>5</v>
      </c>
      <c r="I142" s="57">
        <v>10</v>
      </c>
      <c r="J142" s="44">
        <v>5518640000</v>
      </c>
      <c r="K142" s="44"/>
      <c r="L142" s="44"/>
      <c r="M142" s="44">
        <f>J142+K142-L142</f>
        <v>5518640000</v>
      </c>
      <c r="N142" s="44">
        <v>0</v>
      </c>
      <c r="O142" s="44">
        <v>3229002880.96</v>
      </c>
      <c r="P142" s="44">
        <f>+M142-O142-N142</f>
        <v>2289637119.04</v>
      </c>
      <c r="Q142" s="58">
        <v>946635139.96000004</v>
      </c>
      <c r="R142" s="25">
        <f t="shared" si="64"/>
        <v>0.17153413521447314</v>
      </c>
      <c r="S142" s="58">
        <v>198713052.96000001</v>
      </c>
      <c r="T142" s="59">
        <v>198713052.96000001</v>
      </c>
    </row>
    <row r="143" spans="1:20" ht="41.25" customHeight="1" x14ac:dyDescent="0.25">
      <c r="A143" s="94" t="s">
        <v>18</v>
      </c>
      <c r="B143" s="56" t="s">
        <v>89</v>
      </c>
      <c r="C143" s="56" t="s">
        <v>90</v>
      </c>
      <c r="D143" s="56" t="s">
        <v>94</v>
      </c>
      <c r="E143" s="56" t="s">
        <v>218</v>
      </c>
      <c r="F143" s="56" t="s">
        <v>158</v>
      </c>
      <c r="G143" s="23" t="s">
        <v>178</v>
      </c>
      <c r="H143" s="56" t="s">
        <v>8</v>
      </c>
      <c r="I143" s="57">
        <v>21</v>
      </c>
      <c r="J143" s="44">
        <v>1191767000</v>
      </c>
      <c r="K143" s="44">
        <v>0</v>
      </c>
      <c r="L143" s="44"/>
      <c r="M143" s="44">
        <f t="shared" si="71"/>
        <v>1191767000</v>
      </c>
      <c r="N143" s="44">
        <v>0</v>
      </c>
      <c r="O143" s="44">
        <v>1191767000</v>
      </c>
      <c r="P143" s="44">
        <f t="shared" ref="P143" si="82">+M143-O143-N143</f>
        <v>0</v>
      </c>
      <c r="Q143" s="58">
        <v>1191767000</v>
      </c>
      <c r="R143" s="25">
        <f t="shared" si="64"/>
        <v>1</v>
      </c>
      <c r="S143" s="115">
        <v>0</v>
      </c>
      <c r="T143" s="59">
        <v>0</v>
      </c>
    </row>
    <row r="144" spans="1:20" s="102" customFormat="1" ht="41.25" customHeight="1" x14ac:dyDescent="0.25">
      <c r="A144" s="95" t="s">
        <v>18</v>
      </c>
      <c r="B144" s="98" t="s">
        <v>89</v>
      </c>
      <c r="C144" s="98" t="s">
        <v>90</v>
      </c>
      <c r="D144" s="98" t="s">
        <v>95</v>
      </c>
      <c r="E144" s="98"/>
      <c r="F144" s="98"/>
      <c r="G144" s="117" t="s">
        <v>212</v>
      </c>
      <c r="H144" s="98" t="s">
        <v>5</v>
      </c>
      <c r="I144" s="99">
        <v>10</v>
      </c>
      <c r="J144" s="48">
        <f>J145+J146+J147</f>
        <v>1900000000</v>
      </c>
      <c r="K144" s="48">
        <f>K145+K146+K147</f>
        <v>0</v>
      </c>
      <c r="L144" s="48">
        <f t="shared" ref="L144:T144" si="83">L145+L146+L147</f>
        <v>0</v>
      </c>
      <c r="M144" s="48">
        <f t="shared" si="83"/>
        <v>1900000000</v>
      </c>
      <c r="N144" s="48">
        <f t="shared" si="83"/>
        <v>0</v>
      </c>
      <c r="O144" s="48">
        <f t="shared" si="83"/>
        <v>0</v>
      </c>
      <c r="P144" s="48">
        <f>P145+P146+P147</f>
        <v>1900000000</v>
      </c>
      <c r="Q144" s="100">
        <f t="shared" si="83"/>
        <v>0</v>
      </c>
      <c r="R144" s="26">
        <f t="shared" si="64"/>
        <v>0</v>
      </c>
      <c r="S144" s="100">
        <f t="shared" si="83"/>
        <v>0</v>
      </c>
      <c r="T144" s="101">
        <f t="shared" si="83"/>
        <v>0</v>
      </c>
    </row>
    <row r="145" spans="1:20" s="47" customFormat="1" ht="55.5" customHeight="1" x14ac:dyDescent="0.25">
      <c r="A145" s="94" t="s">
        <v>18</v>
      </c>
      <c r="B145" s="56" t="s">
        <v>89</v>
      </c>
      <c r="C145" s="56" t="s">
        <v>90</v>
      </c>
      <c r="D145" s="56" t="s">
        <v>95</v>
      </c>
      <c r="E145" s="56" t="s">
        <v>218</v>
      </c>
      <c r="F145" s="56" t="s">
        <v>160</v>
      </c>
      <c r="G145" s="23" t="s">
        <v>180</v>
      </c>
      <c r="H145" s="56" t="s">
        <v>5</v>
      </c>
      <c r="I145" s="57">
        <v>10</v>
      </c>
      <c r="J145" s="58">
        <v>440000000</v>
      </c>
      <c r="K145" s="44">
        <v>0</v>
      </c>
      <c r="L145" s="44"/>
      <c r="M145" s="44">
        <f t="shared" si="71"/>
        <v>440000000</v>
      </c>
      <c r="N145" s="113">
        <v>0</v>
      </c>
      <c r="O145" s="44">
        <v>0</v>
      </c>
      <c r="P145" s="44">
        <f t="shared" si="68"/>
        <v>440000000</v>
      </c>
      <c r="Q145" s="58">
        <v>0</v>
      </c>
      <c r="R145" s="25">
        <f t="shared" si="64"/>
        <v>0</v>
      </c>
      <c r="S145" s="58">
        <v>0</v>
      </c>
      <c r="T145" s="59">
        <v>0</v>
      </c>
    </row>
    <row r="146" spans="1:20" s="47" customFormat="1" ht="48" customHeight="1" x14ac:dyDescent="0.25">
      <c r="A146" s="94" t="s">
        <v>18</v>
      </c>
      <c r="B146" s="56" t="s">
        <v>89</v>
      </c>
      <c r="C146" s="56" t="s">
        <v>90</v>
      </c>
      <c r="D146" s="56" t="s">
        <v>95</v>
      </c>
      <c r="E146" s="56" t="s">
        <v>218</v>
      </c>
      <c r="F146" s="56" t="s">
        <v>161</v>
      </c>
      <c r="G146" s="23" t="s">
        <v>181</v>
      </c>
      <c r="H146" s="56" t="s">
        <v>5</v>
      </c>
      <c r="I146" s="57">
        <v>10</v>
      </c>
      <c r="J146" s="58">
        <v>1300000000</v>
      </c>
      <c r="K146" s="44"/>
      <c r="L146" s="44"/>
      <c r="M146" s="44">
        <f t="shared" si="71"/>
        <v>1300000000</v>
      </c>
      <c r="N146" s="113">
        <v>0</v>
      </c>
      <c r="O146" s="44">
        <v>0</v>
      </c>
      <c r="P146" s="44">
        <f t="shared" ref="P146:P147" si="84">+M146-O146-N146</f>
        <v>1300000000</v>
      </c>
      <c r="Q146" s="58"/>
      <c r="R146" s="25">
        <f t="shared" si="64"/>
        <v>0</v>
      </c>
      <c r="S146" s="58"/>
      <c r="T146" s="59"/>
    </row>
    <row r="147" spans="1:20" s="47" customFormat="1" ht="42.75" customHeight="1" x14ac:dyDescent="0.25">
      <c r="A147" s="94" t="s">
        <v>18</v>
      </c>
      <c r="B147" s="56" t="s">
        <v>89</v>
      </c>
      <c r="C147" s="56" t="s">
        <v>90</v>
      </c>
      <c r="D147" s="56" t="s">
        <v>95</v>
      </c>
      <c r="E147" s="56" t="s">
        <v>218</v>
      </c>
      <c r="F147" s="56" t="s">
        <v>162</v>
      </c>
      <c r="G147" s="23" t="s">
        <v>182</v>
      </c>
      <c r="H147" s="56" t="s">
        <v>5</v>
      </c>
      <c r="I147" s="57">
        <v>10</v>
      </c>
      <c r="J147" s="58">
        <v>160000000</v>
      </c>
      <c r="K147" s="44">
        <v>0</v>
      </c>
      <c r="L147" s="44"/>
      <c r="M147" s="44">
        <f t="shared" si="71"/>
        <v>160000000</v>
      </c>
      <c r="N147" s="113">
        <v>0</v>
      </c>
      <c r="O147" s="44">
        <v>0</v>
      </c>
      <c r="P147" s="44">
        <f t="shared" si="84"/>
        <v>160000000</v>
      </c>
      <c r="Q147" s="58">
        <v>0</v>
      </c>
      <c r="R147" s="25">
        <f t="shared" si="64"/>
        <v>0</v>
      </c>
      <c r="S147" s="58">
        <v>0</v>
      </c>
      <c r="T147" s="59">
        <v>0</v>
      </c>
    </row>
    <row r="148" spans="1:20" s="47" customFormat="1" ht="42.75" customHeight="1" x14ac:dyDescent="0.25">
      <c r="A148" s="95" t="s">
        <v>18</v>
      </c>
      <c r="B148" s="98" t="s">
        <v>89</v>
      </c>
      <c r="C148" s="98" t="s">
        <v>90</v>
      </c>
      <c r="D148" s="98">
        <v>16</v>
      </c>
      <c r="E148" s="98"/>
      <c r="F148" s="98"/>
      <c r="G148" s="12" t="s">
        <v>200</v>
      </c>
      <c r="H148" s="98" t="s">
        <v>5</v>
      </c>
      <c r="I148" s="99">
        <v>10</v>
      </c>
      <c r="J148" s="100">
        <f>J149+J150+J151+J152</f>
        <v>21856000000</v>
      </c>
      <c r="K148" s="48">
        <f t="shared" ref="K148:T148" si="85">K149+K150+K151+K152</f>
        <v>0</v>
      </c>
      <c r="L148" s="48">
        <f t="shared" si="85"/>
        <v>0</v>
      </c>
      <c r="M148" s="48">
        <f>M149+M150+M151+M152</f>
        <v>21856000000</v>
      </c>
      <c r="N148" s="48">
        <f t="shared" si="85"/>
        <v>0</v>
      </c>
      <c r="O148" s="48">
        <f t="shared" si="85"/>
        <v>9788198280</v>
      </c>
      <c r="P148" s="48">
        <f>P149+P150+P151+P152</f>
        <v>12067801720</v>
      </c>
      <c r="Q148" s="100">
        <f t="shared" si="85"/>
        <v>6130468669</v>
      </c>
      <c r="R148" s="26">
        <f t="shared" si="64"/>
        <v>0.28049362504575404</v>
      </c>
      <c r="S148" s="100">
        <f t="shared" si="85"/>
        <v>535606120</v>
      </c>
      <c r="T148" s="101">
        <f t="shared" si="85"/>
        <v>535606120</v>
      </c>
    </row>
    <row r="149" spans="1:20" s="47" customFormat="1" ht="56.25" customHeight="1" x14ac:dyDescent="0.25">
      <c r="A149" s="94" t="s">
        <v>18</v>
      </c>
      <c r="B149" s="56" t="s">
        <v>89</v>
      </c>
      <c r="C149" s="56" t="s">
        <v>90</v>
      </c>
      <c r="D149" s="56">
        <v>16</v>
      </c>
      <c r="E149" s="56" t="s">
        <v>220</v>
      </c>
      <c r="F149" s="56" t="s">
        <v>150</v>
      </c>
      <c r="G149" s="23" t="s">
        <v>183</v>
      </c>
      <c r="H149" s="56" t="s">
        <v>5</v>
      </c>
      <c r="I149" s="57">
        <v>10</v>
      </c>
      <c r="J149" s="58">
        <v>14263763540</v>
      </c>
      <c r="K149" s="44">
        <v>0</v>
      </c>
      <c r="L149" s="44"/>
      <c r="M149" s="44">
        <f t="shared" si="71"/>
        <v>14263763540</v>
      </c>
      <c r="N149" s="44">
        <v>0</v>
      </c>
      <c r="O149" s="44">
        <v>5416341363</v>
      </c>
      <c r="P149" s="44">
        <f t="shared" si="68"/>
        <v>8847422177</v>
      </c>
      <c r="Q149" s="58">
        <v>2714529386</v>
      </c>
      <c r="R149" s="25">
        <f t="shared" si="64"/>
        <v>0.19030947746628166</v>
      </c>
      <c r="S149" s="58">
        <v>0</v>
      </c>
      <c r="T149" s="59">
        <v>0</v>
      </c>
    </row>
    <row r="150" spans="1:20" s="47" customFormat="1" ht="48.75" customHeight="1" x14ac:dyDescent="0.25">
      <c r="A150" s="94" t="s">
        <v>18</v>
      </c>
      <c r="B150" s="56" t="s">
        <v>89</v>
      </c>
      <c r="C150" s="56" t="s">
        <v>90</v>
      </c>
      <c r="D150" s="56">
        <v>16</v>
      </c>
      <c r="E150" s="56" t="s">
        <v>220</v>
      </c>
      <c r="F150" s="56" t="s">
        <v>148</v>
      </c>
      <c r="G150" s="23" t="s">
        <v>184</v>
      </c>
      <c r="H150" s="56" t="s">
        <v>5</v>
      </c>
      <c r="I150" s="57">
        <v>10</v>
      </c>
      <c r="J150" s="58">
        <v>5531215836</v>
      </c>
      <c r="K150" s="44">
        <v>0</v>
      </c>
      <c r="L150" s="44"/>
      <c r="M150" s="44">
        <f t="shared" si="71"/>
        <v>5531215836</v>
      </c>
      <c r="N150" s="113">
        <v>0</v>
      </c>
      <c r="O150" s="44">
        <v>3415939283</v>
      </c>
      <c r="P150" s="44">
        <f t="shared" ref="P150:P151" si="86">+M150-O150-N150</f>
        <v>2115276553</v>
      </c>
      <c r="Q150" s="58">
        <v>3415939283</v>
      </c>
      <c r="R150" s="25">
        <f t="shared" si="64"/>
        <v>0.61757475829587205</v>
      </c>
      <c r="S150" s="58">
        <v>535606120</v>
      </c>
      <c r="T150" s="59">
        <v>535606120</v>
      </c>
    </row>
    <row r="151" spans="1:20" s="47" customFormat="1" ht="54" customHeight="1" x14ac:dyDescent="0.25">
      <c r="A151" s="94" t="s">
        <v>18</v>
      </c>
      <c r="B151" s="56" t="s">
        <v>89</v>
      </c>
      <c r="C151" s="56" t="s">
        <v>90</v>
      </c>
      <c r="D151" s="56">
        <v>16</v>
      </c>
      <c r="E151" s="56" t="s">
        <v>220</v>
      </c>
      <c r="F151" s="56" t="s">
        <v>156</v>
      </c>
      <c r="G151" s="23" t="s">
        <v>185</v>
      </c>
      <c r="H151" s="56" t="s">
        <v>5</v>
      </c>
      <c r="I151" s="57">
        <v>10</v>
      </c>
      <c r="J151" s="58">
        <v>1443612624</v>
      </c>
      <c r="K151" s="44">
        <v>0</v>
      </c>
      <c r="L151" s="44"/>
      <c r="M151" s="44">
        <f t="shared" si="71"/>
        <v>1443612624</v>
      </c>
      <c r="N151" s="44">
        <v>0</v>
      </c>
      <c r="O151" s="44">
        <v>809949466</v>
      </c>
      <c r="P151" s="44">
        <f t="shared" si="86"/>
        <v>633663158</v>
      </c>
      <c r="Q151" s="58">
        <v>0</v>
      </c>
      <c r="R151" s="25">
        <f t="shared" si="64"/>
        <v>0</v>
      </c>
      <c r="S151" s="58">
        <v>0</v>
      </c>
      <c r="T151" s="59">
        <v>0</v>
      </c>
    </row>
    <row r="152" spans="1:20" s="47" customFormat="1" ht="56.25" customHeight="1" x14ac:dyDescent="0.25">
      <c r="A152" s="94" t="s">
        <v>18</v>
      </c>
      <c r="B152" s="56" t="s">
        <v>89</v>
      </c>
      <c r="C152" s="56" t="s">
        <v>90</v>
      </c>
      <c r="D152" s="56">
        <v>16</v>
      </c>
      <c r="E152" s="56" t="s">
        <v>220</v>
      </c>
      <c r="F152" s="56" t="s">
        <v>154</v>
      </c>
      <c r="G152" s="23" t="s">
        <v>186</v>
      </c>
      <c r="H152" s="56" t="s">
        <v>5</v>
      </c>
      <c r="I152" s="57">
        <v>10</v>
      </c>
      <c r="J152" s="58">
        <v>617408000</v>
      </c>
      <c r="K152" s="44">
        <v>0</v>
      </c>
      <c r="L152" s="44"/>
      <c r="M152" s="44">
        <f t="shared" si="71"/>
        <v>617408000</v>
      </c>
      <c r="N152" s="113">
        <v>0</v>
      </c>
      <c r="O152" s="44">
        <v>145968168</v>
      </c>
      <c r="P152" s="114">
        <f>+M152-O152-N152</f>
        <v>471439832</v>
      </c>
      <c r="Q152" s="58">
        <v>0</v>
      </c>
      <c r="R152" s="25">
        <f t="shared" si="64"/>
        <v>0</v>
      </c>
      <c r="S152" s="58">
        <v>0</v>
      </c>
      <c r="T152" s="59">
        <v>0</v>
      </c>
    </row>
    <row r="153" spans="1:20" ht="31.5" customHeight="1" x14ac:dyDescent="0.25">
      <c r="A153" s="95" t="s">
        <v>18</v>
      </c>
      <c r="B153" s="11">
        <v>2999</v>
      </c>
      <c r="C153" s="11"/>
      <c r="D153" s="11"/>
      <c r="E153" s="11"/>
      <c r="F153" s="11"/>
      <c r="G153" s="12" t="s">
        <v>231</v>
      </c>
      <c r="H153" s="11" t="s">
        <v>5</v>
      </c>
      <c r="I153" s="13">
        <v>10</v>
      </c>
      <c r="J153" s="14">
        <f>J154</f>
        <v>52902704000</v>
      </c>
      <c r="K153" s="14">
        <f t="shared" ref="K153:Q153" si="87">K154</f>
        <v>0</v>
      </c>
      <c r="L153" s="24">
        <f t="shared" si="87"/>
        <v>0</v>
      </c>
      <c r="M153" s="48">
        <f t="shared" si="87"/>
        <v>52902704000</v>
      </c>
      <c r="N153" s="24">
        <f>N154</f>
        <v>0</v>
      </c>
      <c r="O153" s="24">
        <f>O154</f>
        <v>25128577183.16</v>
      </c>
      <c r="P153" s="24">
        <f t="shared" si="87"/>
        <v>27774126816.84</v>
      </c>
      <c r="Q153" s="14">
        <f t="shared" si="87"/>
        <v>23907026683.16</v>
      </c>
      <c r="R153" s="26">
        <f t="shared" si="64"/>
        <v>0.45190557146492927</v>
      </c>
      <c r="S153" s="14">
        <f>S154</f>
        <v>2236120066.8499999</v>
      </c>
      <c r="T153" s="22">
        <f t="shared" ref="T153" si="88">T154</f>
        <v>2236120066.8499999</v>
      </c>
    </row>
    <row r="154" spans="1:20" ht="31.5" customHeight="1" x14ac:dyDescent="0.25">
      <c r="A154" s="95" t="s">
        <v>18</v>
      </c>
      <c r="B154" s="11" t="s">
        <v>96</v>
      </c>
      <c r="C154" s="11" t="s">
        <v>90</v>
      </c>
      <c r="D154" s="11"/>
      <c r="E154" s="11"/>
      <c r="F154" s="11"/>
      <c r="G154" s="12" t="s">
        <v>207</v>
      </c>
      <c r="H154" s="11" t="s">
        <v>5</v>
      </c>
      <c r="I154" s="13">
        <v>10</v>
      </c>
      <c r="J154" s="14">
        <f t="shared" ref="J154:Q154" si="89">J155+J157+J160+J163+J165+J167+J169+J172</f>
        <v>52902704000</v>
      </c>
      <c r="K154" s="14">
        <f t="shared" si="89"/>
        <v>0</v>
      </c>
      <c r="L154" s="24">
        <f t="shared" si="89"/>
        <v>0</v>
      </c>
      <c r="M154" s="48">
        <f t="shared" si="89"/>
        <v>52902704000</v>
      </c>
      <c r="N154" s="24">
        <f t="shared" si="89"/>
        <v>0</v>
      </c>
      <c r="O154" s="24">
        <f t="shared" si="89"/>
        <v>25128577183.16</v>
      </c>
      <c r="P154" s="24">
        <f t="shared" si="89"/>
        <v>27774126816.84</v>
      </c>
      <c r="Q154" s="14">
        <f t="shared" si="89"/>
        <v>23907026683.16</v>
      </c>
      <c r="R154" s="26">
        <f t="shared" si="64"/>
        <v>0.45190557146492927</v>
      </c>
      <c r="S154" s="14">
        <f>S155+S157+S160+S163+S165+S167+S169+S172</f>
        <v>2236120066.8499999</v>
      </c>
      <c r="T154" s="22">
        <f>T155+T157+T160+T163+T165+T167+T169+T172</f>
        <v>2236120066.8499999</v>
      </c>
    </row>
    <row r="155" spans="1:20" ht="31.5" customHeight="1" x14ac:dyDescent="0.25">
      <c r="A155" s="95" t="s">
        <v>18</v>
      </c>
      <c r="B155" s="11" t="s">
        <v>96</v>
      </c>
      <c r="C155" s="98" t="s">
        <v>90</v>
      </c>
      <c r="D155" s="98" t="s">
        <v>93</v>
      </c>
      <c r="E155" s="11"/>
      <c r="F155" s="11"/>
      <c r="G155" s="12" t="s">
        <v>201</v>
      </c>
      <c r="H155" s="98" t="s">
        <v>5</v>
      </c>
      <c r="I155" s="99">
        <v>10</v>
      </c>
      <c r="J155" s="14">
        <f>J156</f>
        <v>1040000000</v>
      </c>
      <c r="K155" s="24">
        <f t="shared" ref="K155:T155" si="90">K156</f>
        <v>0</v>
      </c>
      <c r="L155" s="24">
        <f t="shared" si="90"/>
        <v>0</v>
      </c>
      <c r="M155" s="48">
        <f t="shared" si="90"/>
        <v>1040000000</v>
      </c>
      <c r="N155" s="24">
        <f t="shared" si="90"/>
        <v>0</v>
      </c>
      <c r="O155" s="24">
        <f>O156</f>
        <v>509997886.06999999</v>
      </c>
      <c r="P155" s="24">
        <f>P156</f>
        <v>530002113.93000001</v>
      </c>
      <c r="Q155" s="14">
        <f t="shared" si="90"/>
        <v>509997886.06999999</v>
      </c>
      <c r="R155" s="26">
        <f t="shared" si="64"/>
        <v>0.49038258275961538</v>
      </c>
      <c r="S155" s="14">
        <f t="shared" si="90"/>
        <v>0</v>
      </c>
      <c r="T155" s="22">
        <f t="shared" si="90"/>
        <v>0</v>
      </c>
    </row>
    <row r="156" spans="1:20" ht="42.75" customHeight="1" x14ac:dyDescent="0.25">
      <c r="A156" s="94" t="s">
        <v>18</v>
      </c>
      <c r="B156" s="7" t="s">
        <v>96</v>
      </c>
      <c r="C156" s="56" t="s">
        <v>90</v>
      </c>
      <c r="D156" s="56" t="s">
        <v>93</v>
      </c>
      <c r="E156" s="56" t="s">
        <v>221</v>
      </c>
      <c r="F156" s="56" t="s">
        <v>165</v>
      </c>
      <c r="G156" s="23" t="s">
        <v>187</v>
      </c>
      <c r="H156" s="56" t="s">
        <v>5</v>
      </c>
      <c r="I156" s="57">
        <v>10</v>
      </c>
      <c r="J156" s="44">
        <v>1040000000</v>
      </c>
      <c r="K156" s="44">
        <v>0</v>
      </c>
      <c r="L156" s="44">
        <v>0</v>
      </c>
      <c r="M156" s="44">
        <f t="shared" ref="M156:M175" si="91">J156+K156-L156</f>
        <v>1040000000</v>
      </c>
      <c r="N156" s="44">
        <v>0</v>
      </c>
      <c r="O156" s="44">
        <v>509997886.06999999</v>
      </c>
      <c r="P156" s="27">
        <f t="shared" ref="P156:P168" si="92">+M156-O156-N156</f>
        <v>530002113.93000001</v>
      </c>
      <c r="Q156" s="58">
        <v>509997886.06999999</v>
      </c>
      <c r="R156" s="25">
        <f t="shared" si="64"/>
        <v>0.49038258275961538</v>
      </c>
      <c r="S156" s="58">
        <v>0</v>
      </c>
      <c r="T156" s="59">
        <v>0</v>
      </c>
    </row>
    <row r="157" spans="1:20" ht="48" customHeight="1" x14ac:dyDescent="0.25">
      <c r="A157" s="95" t="s">
        <v>18</v>
      </c>
      <c r="B157" s="98" t="s">
        <v>96</v>
      </c>
      <c r="C157" s="98" t="s">
        <v>90</v>
      </c>
      <c r="D157" s="98" t="s">
        <v>94</v>
      </c>
      <c r="E157" s="98"/>
      <c r="F157" s="98"/>
      <c r="G157" s="12" t="s">
        <v>202</v>
      </c>
      <c r="H157" s="98" t="s">
        <v>5</v>
      </c>
      <c r="I157" s="99">
        <v>10</v>
      </c>
      <c r="J157" s="48">
        <f>J158+J159</f>
        <v>23019524233</v>
      </c>
      <c r="K157" s="48">
        <f t="shared" ref="K157:T157" si="93">K158+K159</f>
        <v>0</v>
      </c>
      <c r="L157" s="48">
        <f t="shared" si="93"/>
        <v>0</v>
      </c>
      <c r="M157" s="48">
        <f>M158+M159</f>
        <v>23019524233</v>
      </c>
      <c r="N157" s="48">
        <f t="shared" si="93"/>
        <v>0</v>
      </c>
      <c r="O157" s="48">
        <f>O158+O159</f>
        <v>18168897453.02</v>
      </c>
      <c r="P157" s="24">
        <f>P158+P159</f>
        <v>4850626779.9799995</v>
      </c>
      <c r="Q157" s="100">
        <f>Q158+Q159</f>
        <v>18168897453.02</v>
      </c>
      <c r="R157" s="26">
        <f t="shared" si="64"/>
        <v>0.78928205766189086</v>
      </c>
      <c r="S157" s="100">
        <f t="shared" si="93"/>
        <v>2035670904.02</v>
      </c>
      <c r="T157" s="101">
        <f t="shared" si="93"/>
        <v>2035670904.02</v>
      </c>
    </row>
    <row r="158" spans="1:20" ht="45" customHeight="1" x14ac:dyDescent="0.25">
      <c r="A158" s="94" t="s">
        <v>18</v>
      </c>
      <c r="B158" s="56" t="s">
        <v>96</v>
      </c>
      <c r="C158" s="56" t="s">
        <v>90</v>
      </c>
      <c r="D158" s="56" t="s">
        <v>94</v>
      </c>
      <c r="E158" s="56" t="s">
        <v>221</v>
      </c>
      <c r="F158" s="56" t="s">
        <v>163</v>
      </c>
      <c r="G158" s="23" t="s">
        <v>188</v>
      </c>
      <c r="H158" s="56" t="s">
        <v>5</v>
      </c>
      <c r="I158" s="57">
        <v>10</v>
      </c>
      <c r="J158" s="58">
        <v>1055000000</v>
      </c>
      <c r="K158" s="44">
        <v>0</v>
      </c>
      <c r="L158" s="44">
        <v>0</v>
      </c>
      <c r="M158" s="44">
        <f t="shared" si="91"/>
        <v>1055000000</v>
      </c>
      <c r="N158" s="44">
        <v>0</v>
      </c>
      <c r="O158" s="44">
        <v>0</v>
      </c>
      <c r="P158" s="27">
        <f t="shared" si="92"/>
        <v>1055000000</v>
      </c>
      <c r="Q158" s="58">
        <v>0</v>
      </c>
      <c r="R158" s="25">
        <f t="shared" si="64"/>
        <v>0</v>
      </c>
      <c r="S158" s="58">
        <v>0</v>
      </c>
      <c r="T158" s="59">
        <v>0</v>
      </c>
    </row>
    <row r="159" spans="1:20" ht="47.25" customHeight="1" x14ac:dyDescent="0.25">
      <c r="A159" s="94" t="s">
        <v>18</v>
      </c>
      <c r="B159" s="56" t="s">
        <v>96</v>
      </c>
      <c r="C159" s="56" t="s">
        <v>90</v>
      </c>
      <c r="D159" s="56" t="s">
        <v>94</v>
      </c>
      <c r="E159" s="56" t="s">
        <v>221</v>
      </c>
      <c r="F159" s="56" t="s">
        <v>164</v>
      </c>
      <c r="G159" s="23" t="s">
        <v>189</v>
      </c>
      <c r="H159" s="56" t="s">
        <v>5</v>
      </c>
      <c r="I159" s="57">
        <v>10</v>
      </c>
      <c r="J159" s="58">
        <v>21964524233</v>
      </c>
      <c r="K159" s="44">
        <v>0</v>
      </c>
      <c r="L159" s="44">
        <v>0</v>
      </c>
      <c r="M159" s="44">
        <v>21964524233</v>
      </c>
      <c r="N159" s="44">
        <v>0</v>
      </c>
      <c r="O159" s="44">
        <v>18168897453.02</v>
      </c>
      <c r="P159" s="27">
        <f>+M159-O159-N159</f>
        <v>3795626779.9799995</v>
      </c>
      <c r="Q159" s="58">
        <v>18168897453.02</v>
      </c>
      <c r="R159" s="25">
        <f t="shared" si="64"/>
        <v>0.82719285245080043</v>
      </c>
      <c r="S159" s="58">
        <v>2035670904.02</v>
      </c>
      <c r="T159" s="59">
        <v>2035670904.02</v>
      </c>
    </row>
    <row r="160" spans="1:20" ht="47.25" customHeight="1" x14ac:dyDescent="0.25">
      <c r="A160" s="95" t="s">
        <v>18</v>
      </c>
      <c r="B160" s="98" t="s">
        <v>96</v>
      </c>
      <c r="C160" s="98" t="s">
        <v>90</v>
      </c>
      <c r="D160" s="98" t="s">
        <v>95</v>
      </c>
      <c r="E160" s="98"/>
      <c r="F160" s="98"/>
      <c r="G160" s="12" t="s">
        <v>203</v>
      </c>
      <c r="H160" s="98" t="s">
        <v>5</v>
      </c>
      <c r="I160" s="99">
        <v>10</v>
      </c>
      <c r="J160" s="100">
        <f>J161+J162</f>
        <v>5464000000</v>
      </c>
      <c r="K160" s="48">
        <f t="shared" ref="K160:T160" si="94">K161+K162</f>
        <v>0</v>
      </c>
      <c r="L160" s="48">
        <f t="shared" si="94"/>
        <v>0</v>
      </c>
      <c r="M160" s="48">
        <f t="shared" si="94"/>
        <v>5464000000</v>
      </c>
      <c r="N160" s="48">
        <f t="shared" si="94"/>
        <v>0</v>
      </c>
      <c r="O160" s="48">
        <f>O161+O162</f>
        <v>4900988480.96</v>
      </c>
      <c r="P160" s="24">
        <f>P161+P162</f>
        <v>563011519.03999996</v>
      </c>
      <c r="Q160" s="100">
        <f t="shared" si="94"/>
        <v>3892650742.96</v>
      </c>
      <c r="R160" s="26">
        <f t="shared" si="64"/>
        <v>0.71241777872620793</v>
      </c>
      <c r="S160" s="100">
        <f t="shared" si="94"/>
        <v>107819080</v>
      </c>
      <c r="T160" s="101">
        <f t="shared" si="94"/>
        <v>107819080</v>
      </c>
    </row>
    <row r="161" spans="1:20" ht="41.25" customHeight="1" x14ac:dyDescent="0.25">
      <c r="A161" s="94" t="s">
        <v>18</v>
      </c>
      <c r="B161" s="56" t="s">
        <v>96</v>
      </c>
      <c r="C161" s="56" t="s">
        <v>90</v>
      </c>
      <c r="D161" s="56" t="s">
        <v>95</v>
      </c>
      <c r="E161" s="56" t="s">
        <v>221</v>
      </c>
      <c r="F161" s="56" t="s">
        <v>166</v>
      </c>
      <c r="G161" s="23" t="s">
        <v>190</v>
      </c>
      <c r="H161" s="56" t="s">
        <v>5</v>
      </c>
      <c r="I161" s="57">
        <v>10</v>
      </c>
      <c r="J161" s="58">
        <v>1049493214</v>
      </c>
      <c r="K161" s="44">
        <v>0</v>
      </c>
      <c r="L161" s="44">
        <v>0</v>
      </c>
      <c r="M161" s="44">
        <f t="shared" si="91"/>
        <v>1049493214</v>
      </c>
      <c r="N161" s="44">
        <v>0</v>
      </c>
      <c r="O161" s="44">
        <v>781612817</v>
      </c>
      <c r="P161" s="27">
        <f t="shared" si="92"/>
        <v>267880397</v>
      </c>
      <c r="Q161" s="58">
        <v>369558594</v>
      </c>
      <c r="R161" s="25">
        <f t="shared" si="64"/>
        <v>0.35213052268482797</v>
      </c>
      <c r="S161" s="58">
        <v>0</v>
      </c>
      <c r="T161" s="59">
        <v>0</v>
      </c>
    </row>
    <row r="162" spans="1:20" ht="47.25" customHeight="1" x14ac:dyDescent="0.25">
      <c r="A162" s="94" t="s">
        <v>18</v>
      </c>
      <c r="B162" s="56" t="s">
        <v>96</v>
      </c>
      <c r="C162" s="56" t="s">
        <v>90</v>
      </c>
      <c r="D162" s="56" t="s">
        <v>95</v>
      </c>
      <c r="E162" s="56" t="s">
        <v>221</v>
      </c>
      <c r="F162" s="56" t="s">
        <v>164</v>
      </c>
      <c r="G162" s="23" t="s">
        <v>191</v>
      </c>
      <c r="H162" s="56" t="s">
        <v>5</v>
      </c>
      <c r="I162" s="57">
        <v>10</v>
      </c>
      <c r="J162" s="58">
        <v>4414506786</v>
      </c>
      <c r="K162" s="44">
        <v>0</v>
      </c>
      <c r="L162" s="44">
        <v>0</v>
      </c>
      <c r="M162" s="44">
        <f t="shared" si="91"/>
        <v>4414506786</v>
      </c>
      <c r="N162" s="44">
        <v>0</v>
      </c>
      <c r="O162" s="44">
        <v>4119375663.96</v>
      </c>
      <c r="P162" s="27">
        <f t="shared" ref="P162" si="95">+M162-O162-N162</f>
        <v>295131122.03999996</v>
      </c>
      <c r="Q162" s="58">
        <v>3523092148.96</v>
      </c>
      <c r="R162" s="25">
        <f t="shared" si="64"/>
        <v>0.79807152185902197</v>
      </c>
      <c r="S162" s="58">
        <v>107819080</v>
      </c>
      <c r="T162" s="59">
        <v>107819080</v>
      </c>
    </row>
    <row r="163" spans="1:20" ht="47.25" customHeight="1" x14ac:dyDescent="0.25">
      <c r="A163" s="95" t="s">
        <v>18</v>
      </c>
      <c r="B163" s="98" t="s">
        <v>96</v>
      </c>
      <c r="C163" s="98" t="s">
        <v>90</v>
      </c>
      <c r="D163" s="98">
        <v>16</v>
      </c>
      <c r="E163" s="98"/>
      <c r="F163" s="98"/>
      <c r="G163" s="12" t="s">
        <v>222</v>
      </c>
      <c r="H163" s="98" t="s">
        <v>5</v>
      </c>
      <c r="I163" s="99">
        <v>10</v>
      </c>
      <c r="J163" s="100">
        <f>J164</f>
        <v>45000000</v>
      </c>
      <c r="K163" s="48">
        <f t="shared" ref="K163:Q163" si="96">K164</f>
        <v>0</v>
      </c>
      <c r="L163" s="48">
        <f t="shared" si="96"/>
        <v>0</v>
      </c>
      <c r="M163" s="48">
        <f t="shared" si="96"/>
        <v>45000000</v>
      </c>
      <c r="N163" s="48">
        <f t="shared" si="96"/>
        <v>0</v>
      </c>
      <c r="O163" s="48">
        <f t="shared" si="96"/>
        <v>0</v>
      </c>
      <c r="P163" s="24">
        <f t="shared" si="96"/>
        <v>45000000</v>
      </c>
      <c r="Q163" s="100">
        <f t="shared" si="96"/>
        <v>0</v>
      </c>
      <c r="R163" s="26">
        <f t="shared" si="64"/>
        <v>0</v>
      </c>
      <c r="S163" s="100">
        <f t="shared" ref="S163:T163" si="97">S164</f>
        <v>0</v>
      </c>
      <c r="T163" s="101">
        <f t="shared" si="97"/>
        <v>0</v>
      </c>
    </row>
    <row r="164" spans="1:20" ht="39" customHeight="1" x14ac:dyDescent="0.25">
      <c r="A164" s="94" t="s">
        <v>18</v>
      </c>
      <c r="B164" s="56" t="s">
        <v>96</v>
      </c>
      <c r="C164" s="56" t="s">
        <v>90</v>
      </c>
      <c r="D164" s="56">
        <v>16</v>
      </c>
      <c r="E164" s="56" t="s">
        <v>221</v>
      </c>
      <c r="F164" s="56">
        <v>2999065</v>
      </c>
      <c r="G164" s="23" t="s">
        <v>223</v>
      </c>
      <c r="H164" s="56" t="s">
        <v>5</v>
      </c>
      <c r="I164" s="57">
        <v>10</v>
      </c>
      <c r="J164" s="58">
        <v>45000000</v>
      </c>
      <c r="K164" s="44">
        <v>0</v>
      </c>
      <c r="L164" s="44">
        <v>0</v>
      </c>
      <c r="M164" s="44">
        <f t="shared" si="91"/>
        <v>45000000</v>
      </c>
      <c r="N164" s="113">
        <v>0</v>
      </c>
      <c r="O164" s="44">
        <v>0</v>
      </c>
      <c r="P164" s="27">
        <f t="shared" si="92"/>
        <v>45000000</v>
      </c>
      <c r="Q164" s="58">
        <v>0</v>
      </c>
      <c r="R164" s="25">
        <f t="shared" si="64"/>
        <v>0</v>
      </c>
      <c r="S164" s="58"/>
      <c r="T164" s="59"/>
    </row>
    <row r="165" spans="1:20" ht="47.25" customHeight="1" x14ac:dyDescent="0.25">
      <c r="A165" s="95" t="s">
        <v>18</v>
      </c>
      <c r="B165" s="98" t="s">
        <v>96</v>
      </c>
      <c r="C165" s="98" t="s">
        <v>90</v>
      </c>
      <c r="D165" s="98">
        <v>17</v>
      </c>
      <c r="E165" s="98"/>
      <c r="F165" s="98"/>
      <c r="G165" s="12" t="s">
        <v>204</v>
      </c>
      <c r="H165" s="98" t="s">
        <v>5</v>
      </c>
      <c r="I165" s="99">
        <v>10</v>
      </c>
      <c r="J165" s="100">
        <f>J166</f>
        <v>77674866</v>
      </c>
      <c r="K165" s="48">
        <f t="shared" ref="K165:T165" si="98">K166</f>
        <v>0</v>
      </c>
      <c r="L165" s="48">
        <f t="shared" si="98"/>
        <v>0</v>
      </c>
      <c r="M165" s="48">
        <f t="shared" si="98"/>
        <v>77674866</v>
      </c>
      <c r="N165" s="48">
        <f t="shared" si="98"/>
        <v>0</v>
      </c>
      <c r="O165" s="48">
        <f>O166</f>
        <v>77674863</v>
      </c>
      <c r="P165" s="24">
        <f t="shared" si="98"/>
        <v>3</v>
      </c>
      <c r="Q165" s="100">
        <f t="shared" si="98"/>
        <v>77674863</v>
      </c>
      <c r="R165" s="26">
        <f t="shared" si="64"/>
        <v>0.99999996137746794</v>
      </c>
      <c r="S165" s="100">
        <f t="shared" si="98"/>
        <v>23302459</v>
      </c>
      <c r="T165" s="101">
        <f t="shared" si="98"/>
        <v>23302459</v>
      </c>
    </row>
    <row r="166" spans="1:20" ht="32.25" customHeight="1" x14ac:dyDescent="0.25">
      <c r="A166" s="94" t="s">
        <v>18</v>
      </c>
      <c r="B166" s="56" t="s">
        <v>96</v>
      </c>
      <c r="C166" s="56" t="s">
        <v>90</v>
      </c>
      <c r="D166" s="56">
        <v>17</v>
      </c>
      <c r="E166" s="56" t="s">
        <v>221</v>
      </c>
      <c r="F166" s="56">
        <v>2999064</v>
      </c>
      <c r="G166" s="23" t="s">
        <v>224</v>
      </c>
      <c r="H166" s="56" t="s">
        <v>5</v>
      </c>
      <c r="I166" s="57">
        <v>10</v>
      </c>
      <c r="J166" s="58">
        <v>77674866</v>
      </c>
      <c r="K166" s="44"/>
      <c r="L166" s="44">
        <v>0</v>
      </c>
      <c r="M166" s="44">
        <f t="shared" si="91"/>
        <v>77674866</v>
      </c>
      <c r="N166" s="44">
        <v>0</v>
      </c>
      <c r="O166" s="44">
        <v>77674863</v>
      </c>
      <c r="P166" s="27">
        <f>+M166-O166-N166</f>
        <v>3</v>
      </c>
      <c r="Q166" s="58">
        <v>77674863</v>
      </c>
      <c r="R166" s="25">
        <f t="shared" si="64"/>
        <v>0.99999996137746794</v>
      </c>
      <c r="S166" s="58">
        <v>23302459</v>
      </c>
      <c r="T166" s="59">
        <v>23302459</v>
      </c>
    </row>
    <row r="167" spans="1:20" s="102" customFormat="1" ht="32.25" customHeight="1" x14ac:dyDescent="0.25">
      <c r="A167" s="95" t="s">
        <v>18</v>
      </c>
      <c r="B167" s="98" t="s">
        <v>96</v>
      </c>
      <c r="C167" s="98" t="s">
        <v>90</v>
      </c>
      <c r="D167" s="98" t="s">
        <v>97</v>
      </c>
      <c r="E167" s="98"/>
      <c r="F167" s="98"/>
      <c r="G167" s="12" t="s">
        <v>205</v>
      </c>
      <c r="H167" s="98" t="s">
        <v>5</v>
      </c>
      <c r="I167" s="99">
        <v>10</v>
      </c>
      <c r="J167" s="100">
        <f>J168</f>
        <v>837000000</v>
      </c>
      <c r="K167" s="48">
        <f t="shared" ref="K167:T167" si="99">K168</f>
        <v>0</v>
      </c>
      <c r="L167" s="48">
        <f t="shared" si="99"/>
        <v>0</v>
      </c>
      <c r="M167" s="48">
        <f t="shared" si="99"/>
        <v>837000000</v>
      </c>
      <c r="N167" s="48">
        <f t="shared" si="99"/>
        <v>0</v>
      </c>
      <c r="O167" s="48">
        <f t="shared" si="99"/>
        <v>836768065</v>
      </c>
      <c r="P167" s="24">
        <f t="shared" si="99"/>
        <v>231935</v>
      </c>
      <c r="Q167" s="100">
        <f t="shared" si="99"/>
        <v>772710565</v>
      </c>
      <c r="R167" s="26">
        <f t="shared" si="64"/>
        <v>0.92319063918757471</v>
      </c>
      <c r="S167" s="100">
        <f t="shared" si="99"/>
        <v>57561727</v>
      </c>
      <c r="T167" s="101">
        <f t="shared" si="99"/>
        <v>57561727</v>
      </c>
    </row>
    <row r="168" spans="1:20" ht="44.25" customHeight="1" x14ac:dyDescent="0.25">
      <c r="A168" s="94" t="s">
        <v>18</v>
      </c>
      <c r="B168" s="56" t="s">
        <v>96</v>
      </c>
      <c r="C168" s="56" t="s">
        <v>90</v>
      </c>
      <c r="D168" s="56" t="s">
        <v>97</v>
      </c>
      <c r="E168" s="56" t="s">
        <v>221</v>
      </c>
      <c r="F168" s="56" t="s">
        <v>166</v>
      </c>
      <c r="G168" s="23" t="s">
        <v>192</v>
      </c>
      <c r="H168" s="56" t="s">
        <v>5</v>
      </c>
      <c r="I168" s="57">
        <v>10</v>
      </c>
      <c r="J168" s="58">
        <v>837000000</v>
      </c>
      <c r="K168" s="44">
        <v>0</v>
      </c>
      <c r="L168" s="44">
        <v>0</v>
      </c>
      <c r="M168" s="44">
        <f t="shared" si="91"/>
        <v>837000000</v>
      </c>
      <c r="N168" s="113"/>
      <c r="O168" s="44">
        <v>836768065</v>
      </c>
      <c r="P168" s="27">
        <f t="shared" si="92"/>
        <v>231935</v>
      </c>
      <c r="Q168" s="58">
        <v>772710565</v>
      </c>
      <c r="R168" s="25">
        <f t="shared" si="64"/>
        <v>0.92319063918757471</v>
      </c>
      <c r="S168" s="58">
        <v>57561727</v>
      </c>
      <c r="T168" s="59">
        <v>57561727</v>
      </c>
    </row>
    <row r="169" spans="1:20" ht="42" customHeight="1" x14ac:dyDescent="0.25">
      <c r="A169" s="95" t="s">
        <v>18</v>
      </c>
      <c r="B169" s="98" t="s">
        <v>96</v>
      </c>
      <c r="C169" s="11" t="s">
        <v>90</v>
      </c>
      <c r="D169" s="11" t="s">
        <v>98</v>
      </c>
      <c r="E169" s="11"/>
      <c r="F169" s="11"/>
      <c r="G169" s="12" t="s">
        <v>206</v>
      </c>
      <c r="H169" s="11" t="s">
        <v>5</v>
      </c>
      <c r="I169" s="13">
        <v>10</v>
      </c>
      <c r="J169" s="14">
        <f>J170+J171</f>
        <v>546400000</v>
      </c>
      <c r="K169" s="24">
        <f>K170+K171</f>
        <v>0</v>
      </c>
      <c r="L169" s="116">
        <f>L170+L171</f>
        <v>0</v>
      </c>
      <c r="M169" s="48">
        <f>M170+M171</f>
        <v>546400000</v>
      </c>
      <c r="N169" s="24">
        <f t="shared" ref="N169:T169" si="100">N170+N171</f>
        <v>0</v>
      </c>
      <c r="O169" s="24">
        <f t="shared" si="100"/>
        <v>429582451</v>
      </c>
      <c r="P169" s="24">
        <f>P170+P171</f>
        <v>116817549</v>
      </c>
      <c r="Q169" s="14">
        <f t="shared" si="100"/>
        <v>280427189</v>
      </c>
      <c r="R169" s="26">
        <f t="shared" si="64"/>
        <v>0.51322691983894586</v>
      </c>
      <c r="S169" s="14">
        <f t="shared" si="100"/>
        <v>7652432</v>
      </c>
      <c r="T169" s="22">
        <f t="shared" si="100"/>
        <v>7652432</v>
      </c>
    </row>
    <row r="170" spans="1:20" ht="39" customHeight="1" x14ac:dyDescent="0.25">
      <c r="A170" s="94" t="s">
        <v>18</v>
      </c>
      <c r="B170" s="56" t="s">
        <v>96</v>
      </c>
      <c r="C170" s="7" t="s">
        <v>90</v>
      </c>
      <c r="D170" s="7" t="s">
        <v>98</v>
      </c>
      <c r="E170" s="7" t="s">
        <v>221</v>
      </c>
      <c r="F170" s="7" t="s">
        <v>167</v>
      </c>
      <c r="G170" s="23" t="s">
        <v>193</v>
      </c>
      <c r="H170" s="7" t="s">
        <v>5</v>
      </c>
      <c r="I170" s="8">
        <v>10</v>
      </c>
      <c r="J170" s="9">
        <v>154665897</v>
      </c>
      <c r="K170" s="27"/>
      <c r="L170" s="27"/>
      <c r="M170" s="44">
        <f t="shared" si="91"/>
        <v>154665897</v>
      </c>
      <c r="N170" s="27">
        <v>0</v>
      </c>
      <c r="O170" s="27">
        <v>119655304</v>
      </c>
      <c r="P170" s="27">
        <f>+M170-O170-N170</f>
        <v>35010593</v>
      </c>
      <c r="Q170" s="9">
        <v>67937852</v>
      </c>
      <c r="R170" s="25">
        <f t="shared" si="64"/>
        <v>0.43925553931258682</v>
      </c>
      <c r="S170" s="9">
        <v>5526547</v>
      </c>
      <c r="T170" s="10">
        <v>5526547</v>
      </c>
    </row>
    <row r="171" spans="1:20" ht="39" customHeight="1" x14ac:dyDescent="0.25">
      <c r="A171" s="94" t="s">
        <v>18</v>
      </c>
      <c r="B171" s="56" t="s">
        <v>96</v>
      </c>
      <c r="C171" s="7" t="s">
        <v>90</v>
      </c>
      <c r="D171" s="7" t="s">
        <v>98</v>
      </c>
      <c r="E171" s="7" t="s">
        <v>221</v>
      </c>
      <c r="F171" s="7" t="s">
        <v>166</v>
      </c>
      <c r="G171" s="23" t="s">
        <v>194</v>
      </c>
      <c r="H171" s="7" t="s">
        <v>5</v>
      </c>
      <c r="I171" s="8">
        <v>10</v>
      </c>
      <c r="J171" s="9">
        <v>391734103</v>
      </c>
      <c r="K171" s="27"/>
      <c r="L171" s="27"/>
      <c r="M171" s="44">
        <f t="shared" si="91"/>
        <v>391734103</v>
      </c>
      <c r="N171" s="27">
        <v>0</v>
      </c>
      <c r="O171" s="27">
        <v>309927147</v>
      </c>
      <c r="P171" s="27">
        <f>+M171-O171-N171</f>
        <v>81806956</v>
      </c>
      <c r="Q171" s="9">
        <v>212489337</v>
      </c>
      <c r="R171" s="25">
        <f t="shared" si="64"/>
        <v>0.54243257192238892</v>
      </c>
      <c r="S171" s="9">
        <v>2125885</v>
      </c>
      <c r="T171" s="10">
        <v>2125885</v>
      </c>
    </row>
    <row r="172" spans="1:20" ht="39" customHeight="1" x14ac:dyDescent="0.25">
      <c r="A172" s="95" t="s">
        <v>18</v>
      </c>
      <c r="B172" s="11" t="s">
        <v>96</v>
      </c>
      <c r="C172" s="11" t="s">
        <v>90</v>
      </c>
      <c r="D172" s="11">
        <v>25</v>
      </c>
      <c r="E172" s="11"/>
      <c r="F172" s="11"/>
      <c r="G172" s="12" t="s">
        <v>225</v>
      </c>
      <c r="H172" s="11" t="s">
        <v>5</v>
      </c>
      <c r="I172" s="13">
        <v>10</v>
      </c>
      <c r="J172" s="14">
        <f>J175+J173+J174</f>
        <v>21873104901</v>
      </c>
      <c r="K172" s="24">
        <f>K175+K173+K174</f>
        <v>0</v>
      </c>
      <c r="L172" s="24">
        <f>L175+L173+L174</f>
        <v>0</v>
      </c>
      <c r="M172" s="48">
        <f>M175+M173+M174</f>
        <v>21873104901</v>
      </c>
      <c r="N172" s="24">
        <f t="shared" ref="N172" si="101">N175</f>
        <v>0</v>
      </c>
      <c r="O172" s="24">
        <f t="shared" ref="O172" si="102">O175+O173+O174</f>
        <v>204667984.11000001</v>
      </c>
      <c r="P172" s="24">
        <f t="shared" ref="P172" si="103">P175+P173+P174</f>
        <v>21668436916.889999</v>
      </c>
      <c r="Q172" s="14">
        <f t="shared" ref="Q172" si="104">Q175+Q173+Q174</f>
        <v>204667984.11000001</v>
      </c>
      <c r="R172" s="26">
        <f t="shared" si="64"/>
        <v>9.3570613333748952E-3</v>
      </c>
      <c r="S172" s="14">
        <f t="shared" ref="S172" si="105">S175+S173+S174</f>
        <v>4113464.83</v>
      </c>
      <c r="T172" s="22">
        <f t="shared" ref="T172" si="106">T175+T173+T174</f>
        <v>4113464.83</v>
      </c>
    </row>
    <row r="173" spans="1:20" ht="39" customHeight="1" x14ac:dyDescent="0.25">
      <c r="A173" s="94" t="s">
        <v>18</v>
      </c>
      <c r="B173" s="7" t="s">
        <v>96</v>
      </c>
      <c r="C173" s="7" t="s">
        <v>90</v>
      </c>
      <c r="D173" s="7">
        <v>25</v>
      </c>
      <c r="E173" s="7" t="s">
        <v>221</v>
      </c>
      <c r="F173" s="7">
        <v>2999011</v>
      </c>
      <c r="G173" s="23" t="s">
        <v>226</v>
      </c>
      <c r="H173" s="7" t="s">
        <v>5</v>
      </c>
      <c r="I173" s="8">
        <v>10</v>
      </c>
      <c r="J173" s="9">
        <v>3555000000</v>
      </c>
      <c r="K173" s="24"/>
      <c r="L173" s="24"/>
      <c r="M173" s="44">
        <f t="shared" si="91"/>
        <v>3555000000</v>
      </c>
      <c r="N173" s="27"/>
      <c r="O173" s="27">
        <v>204667984.11000001</v>
      </c>
      <c r="P173" s="27">
        <f>+M173-O173-N173</f>
        <v>3350332015.8899999</v>
      </c>
      <c r="Q173" s="9">
        <v>204667984.11000001</v>
      </c>
      <c r="R173" s="26">
        <f t="shared" si="64"/>
        <v>5.7571866135021098E-2</v>
      </c>
      <c r="S173" s="9">
        <v>4113464.83</v>
      </c>
      <c r="T173" s="10">
        <v>4113464.83</v>
      </c>
    </row>
    <row r="174" spans="1:20" ht="39" customHeight="1" x14ac:dyDescent="0.25">
      <c r="A174" s="94" t="s">
        <v>18</v>
      </c>
      <c r="B174" s="7" t="s">
        <v>96</v>
      </c>
      <c r="C174" s="7" t="s">
        <v>90</v>
      </c>
      <c r="D174" s="7">
        <v>25</v>
      </c>
      <c r="E174" s="7" t="s">
        <v>221</v>
      </c>
      <c r="F174" s="7">
        <v>2999014</v>
      </c>
      <c r="G174" s="23" t="s">
        <v>227</v>
      </c>
      <c r="H174" s="7" t="s">
        <v>5</v>
      </c>
      <c r="I174" s="8">
        <v>10</v>
      </c>
      <c r="J174" s="9">
        <v>2980845467</v>
      </c>
      <c r="K174" s="24"/>
      <c r="L174" s="24"/>
      <c r="M174" s="44">
        <f t="shared" si="91"/>
        <v>2980845467</v>
      </c>
      <c r="N174" s="27"/>
      <c r="O174" s="27">
        <v>0</v>
      </c>
      <c r="P174" s="27">
        <f t="shared" ref="P174:P175" si="107">+M174-O174-N174</f>
        <v>2980845467</v>
      </c>
      <c r="Q174" s="14"/>
      <c r="R174" s="26">
        <f t="shared" si="64"/>
        <v>0</v>
      </c>
      <c r="S174" s="14"/>
      <c r="T174" s="22"/>
    </row>
    <row r="175" spans="1:20" ht="32.25" customHeight="1" x14ac:dyDescent="0.25">
      <c r="A175" s="94" t="s">
        <v>18</v>
      </c>
      <c r="B175" s="7" t="s">
        <v>96</v>
      </c>
      <c r="C175" s="7" t="s">
        <v>90</v>
      </c>
      <c r="D175" s="7">
        <v>25</v>
      </c>
      <c r="E175" s="7" t="s">
        <v>221</v>
      </c>
      <c r="F175" s="7">
        <v>2999054</v>
      </c>
      <c r="G175" s="23" t="s">
        <v>228</v>
      </c>
      <c r="H175" s="7" t="s">
        <v>5</v>
      </c>
      <c r="I175" s="8">
        <v>10</v>
      </c>
      <c r="J175" s="9">
        <v>15337259434</v>
      </c>
      <c r="K175" s="27">
        <v>0</v>
      </c>
      <c r="L175" s="27"/>
      <c r="M175" s="44">
        <f t="shared" si="91"/>
        <v>15337259434</v>
      </c>
      <c r="N175" s="27">
        <v>0</v>
      </c>
      <c r="O175" s="27">
        <v>0</v>
      </c>
      <c r="P175" s="27">
        <f t="shared" si="107"/>
        <v>15337259434</v>
      </c>
      <c r="Q175" s="9">
        <v>0</v>
      </c>
      <c r="R175" s="25">
        <f t="shared" si="64"/>
        <v>0</v>
      </c>
      <c r="S175" s="9">
        <v>0</v>
      </c>
      <c r="T175" s="10">
        <v>0</v>
      </c>
    </row>
    <row r="176" spans="1:20" ht="16.5" customHeight="1" x14ac:dyDescent="0.25">
      <c r="A176" s="81" t="s">
        <v>18</v>
      </c>
      <c r="B176" s="81"/>
      <c r="C176" s="81"/>
      <c r="D176" s="81"/>
      <c r="E176" s="81"/>
      <c r="F176" s="81"/>
      <c r="G176" s="82" t="s">
        <v>19</v>
      </c>
      <c r="H176" s="81" t="s">
        <v>5</v>
      </c>
      <c r="I176" s="83">
        <v>10</v>
      </c>
      <c r="J176" s="64">
        <f t="shared" ref="J176:Q176" si="108">J121+J153</f>
        <v>112961000000</v>
      </c>
      <c r="K176" s="64">
        <f t="shared" si="108"/>
        <v>0</v>
      </c>
      <c r="L176" s="64">
        <f t="shared" si="108"/>
        <v>0</v>
      </c>
      <c r="M176" s="64">
        <f t="shared" si="108"/>
        <v>112961000000</v>
      </c>
      <c r="N176" s="3">
        <f t="shared" si="108"/>
        <v>0</v>
      </c>
      <c r="O176" s="64">
        <f>O121+O153</f>
        <v>65199840519.570007</v>
      </c>
      <c r="P176" s="64">
        <f t="shared" si="108"/>
        <v>47761159480.43</v>
      </c>
      <c r="Q176" s="64">
        <f t="shared" si="108"/>
        <v>49637545368.57</v>
      </c>
      <c r="R176" s="76">
        <f t="shared" si="64"/>
        <v>0.43942197190685278</v>
      </c>
      <c r="S176" s="64">
        <f>S121+S153</f>
        <v>5702978074.2800007</v>
      </c>
      <c r="T176" s="73">
        <f>T121+T153</f>
        <v>5702978074.2800007</v>
      </c>
    </row>
    <row r="177" spans="1:20" ht="15" customHeight="1" x14ac:dyDescent="0.25">
      <c r="A177" s="81" t="s">
        <v>18</v>
      </c>
      <c r="B177" s="81"/>
      <c r="C177" s="81"/>
      <c r="D177" s="81"/>
      <c r="E177" s="81"/>
      <c r="F177" s="81"/>
      <c r="G177" s="82" t="s">
        <v>19</v>
      </c>
      <c r="H177" s="81" t="s">
        <v>8</v>
      </c>
      <c r="I177" s="83">
        <v>21</v>
      </c>
      <c r="J177" s="64">
        <f>J122</f>
        <v>1194647000</v>
      </c>
      <c r="K177" s="64">
        <f>K122</f>
        <v>0</v>
      </c>
      <c r="L177" s="64">
        <f>L122</f>
        <v>0</v>
      </c>
      <c r="M177" s="64">
        <f>M122</f>
        <v>1194647000</v>
      </c>
      <c r="N177" s="3">
        <v>0</v>
      </c>
      <c r="O177" s="64">
        <f>O122</f>
        <v>1194647000</v>
      </c>
      <c r="P177" s="64">
        <f>P122</f>
        <v>0</v>
      </c>
      <c r="Q177" s="64">
        <f>Q122</f>
        <v>1194647000</v>
      </c>
      <c r="R177" s="76">
        <f t="shared" si="64"/>
        <v>1</v>
      </c>
      <c r="S177" s="64">
        <f>S122</f>
        <v>0</v>
      </c>
      <c r="T177" s="73">
        <f>T122</f>
        <v>0</v>
      </c>
    </row>
    <row r="178" spans="1:20" s="5" customFormat="1" ht="13.5" customHeight="1" thickBot="1" x14ac:dyDescent="0.25">
      <c r="A178" s="129" t="s">
        <v>29</v>
      </c>
      <c r="B178" s="130"/>
      <c r="C178" s="130"/>
      <c r="D178" s="130"/>
      <c r="E178" s="130"/>
      <c r="F178" s="130"/>
      <c r="G178" s="130"/>
      <c r="H178" s="130"/>
      <c r="I178" s="131"/>
      <c r="J178" s="40">
        <f t="shared" ref="J178:Q178" si="109">SUM(J176:J177)</f>
        <v>114155647000</v>
      </c>
      <c r="K178" s="40">
        <f t="shared" si="109"/>
        <v>0</v>
      </c>
      <c r="L178" s="40">
        <f t="shared" si="109"/>
        <v>0</v>
      </c>
      <c r="M178" s="40">
        <f t="shared" si="109"/>
        <v>114155647000</v>
      </c>
      <c r="N178" s="40">
        <f t="shared" si="109"/>
        <v>0</v>
      </c>
      <c r="O178" s="40">
        <f>SUM(O176:O177)</f>
        <v>66394487519.570007</v>
      </c>
      <c r="P178" s="40">
        <f t="shared" si="109"/>
        <v>47761159480.43</v>
      </c>
      <c r="Q178" s="40">
        <f t="shared" si="109"/>
        <v>50832192368.57</v>
      </c>
      <c r="R178" s="42">
        <f t="shared" si="64"/>
        <v>0.44528846101297115</v>
      </c>
      <c r="S178" s="40">
        <f>SUM(S176:S177)</f>
        <v>5702978074.2800007</v>
      </c>
      <c r="T178" s="53">
        <f>SUM(T176:T177)</f>
        <v>5702978074.2800007</v>
      </c>
    </row>
    <row r="179" spans="1:20" s="15" customFormat="1" ht="11.25" customHeight="1" thickBot="1" x14ac:dyDescent="0.3">
      <c r="A179" s="129" t="s">
        <v>30</v>
      </c>
      <c r="B179" s="130"/>
      <c r="C179" s="130"/>
      <c r="D179" s="130"/>
      <c r="E179" s="130"/>
      <c r="F179" s="130"/>
      <c r="G179" s="130"/>
      <c r="H179" s="130"/>
      <c r="I179" s="130"/>
      <c r="J179" s="80">
        <f t="shared" ref="J179:Q179" si="110">+J178+J119</f>
        <v>503698560000</v>
      </c>
      <c r="K179" s="80">
        <f t="shared" si="110"/>
        <v>5818131753.8899994</v>
      </c>
      <c r="L179" s="80">
        <f t="shared" si="110"/>
        <v>5818131753.8900003</v>
      </c>
      <c r="M179" s="80">
        <f t="shared" si="110"/>
        <v>503698560000</v>
      </c>
      <c r="N179" s="79">
        <f t="shared" si="110"/>
        <v>29515700000</v>
      </c>
      <c r="O179" s="40">
        <f>+O178+O119</f>
        <v>239483235586.96002</v>
      </c>
      <c r="P179" s="40">
        <f t="shared" si="110"/>
        <v>234699624413.03998</v>
      </c>
      <c r="Q179" s="40">
        <f t="shared" si="110"/>
        <v>221117513880.96002</v>
      </c>
      <c r="R179" s="42">
        <f t="shared" si="64"/>
        <v>0.43898778245655501</v>
      </c>
      <c r="S179" s="40">
        <f>+S178+S119</f>
        <v>156827219680.95999</v>
      </c>
      <c r="T179" s="53">
        <f>+T178+T119</f>
        <v>156507236325.76999</v>
      </c>
    </row>
    <row r="180" spans="1:20" s="15" customFormat="1" ht="6.75" customHeight="1" x14ac:dyDescent="0.25">
      <c r="A180" s="109"/>
      <c r="B180" s="109"/>
      <c r="C180" s="109"/>
      <c r="D180" s="109"/>
      <c r="E180" s="109"/>
      <c r="F180" s="109"/>
      <c r="G180" s="109"/>
      <c r="H180" s="109"/>
      <c r="I180" s="109"/>
      <c r="J180" s="104"/>
      <c r="K180" s="104"/>
      <c r="L180" s="104"/>
      <c r="M180" s="104">
        <f>J179-M179</f>
        <v>0</v>
      </c>
      <c r="N180" s="104"/>
      <c r="O180" s="104"/>
      <c r="P180" s="104"/>
      <c r="Q180" s="104"/>
      <c r="R180" s="110"/>
      <c r="S180" s="104"/>
      <c r="T180" s="104"/>
    </row>
    <row r="181" spans="1:20" s="15" customFormat="1" ht="9" customHeight="1" x14ac:dyDescent="0.25">
      <c r="A181" s="15" t="s">
        <v>32</v>
      </c>
      <c r="E181" s="16"/>
      <c r="F181" s="17"/>
      <c r="G181" s="18"/>
      <c r="H181" s="19"/>
      <c r="I181" s="20"/>
      <c r="J181" s="20"/>
      <c r="K181" s="20"/>
      <c r="L181" s="20"/>
      <c r="M181" s="104"/>
      <c r="N181" s="60"/>
      <c r="O181" s="45"/>
      <c r="P181" s="21"/>
      <c r="Q181" s="30"/>
      <c r="R181" s="21"/>
      <c r="S181" s="66"/>
      <c r="T181" s="66"/>
    </row>
    <row r="182" spans="1:20" s="15" customFormat="1" ht="9" customHeight="1" x14ac:dyDescent="0.25">
      <c r="A182" s="15" t="s">
        <v>215</v>
      </c>
      <c r="E182" s="16"/>
      <c r="F182" s="17"/>
      <c r="G182" s="18"/>
      <c r="H182" s="19"/>
      <c r="I182" s="20"/>
      <c r="J182" s="20"/>
      <c r="K182" s="20"/>
      <c r="L182" s="20">
        <f>K179-L179</f>
        <v>0</v>
      </c>
      <c r="N182" s="66"/>
      <c r="O182" s="28"/>
      <c r="P182" s="21"/>
      <c r="Q182" s="31"/>
      <c r="R182" s="21"/>
    </row>
    <row r="183" spans="1:20" s="15" customFormat="1" ht="9" customHeight="1" x14ac:dyDescent="0.25">
      <c r="A183" s="15" t="s">
        <v>214</v>
      </c>
      <c r="E183" s="16"/>
      <c r="F183" s="17"/>
      <c r="G183" s="18"/>
      <c r="H183" s="19"/>
      <c r="I183" s="20"/>
      <c r="J183" s="20"/>
      <c r="K183" s="20"/>
      <c r="L183" s="111"/>
      <c r="M183" s="66"/>
      <c r="N183" s="21"/>
      <c r="O183" s="67"/>
      <c r="P183" s="21"/>
      <c r="Q183" s="31"/>
      <c r="R183" s="21"/>
    </row>
    <row r="184" spans="1:20" x14ac:dyDescent="0.25">
      <c r="A184" s="15" t="s">
        <v>235</v>
      </c>
      <c r="B184" s="15"/>
      <c r="C184" s="15"/>
      <c r="D184" s="15"/>
      <c r="E184" s="16"/>
      <c r="F184" s="17"/>
      <c r="G184" s="18"/>
      <c r="H184" s="19"/>
      <c r="I184" s="20"/>
      <c r="J184" s="20"/>
      <c r="K184" s="20"/>
      <c r="L184" s="20"/>
      <c r="M184" s="15"/>
      <c r="N184" s="66"/>
      <c r="O184" s="28"/>
      <c r="P184" s="21"/>
      <c r="Q184" s="31"/>
      <c r="R184" s="21"/>
      <c r="S184" s="15"/>
      <c r="T184" s="15"/>
    </row>
    <row r="185" spans="1:20" x14ac:dyDescent="0.25">
      <c r="L185" s="112"/>
    </row>
  </sheetData>
  <mergeCells count="13">
    <mergeCell ref="A2:T2"/>
    <mergeCell ref="A1:F1"/>
    <mergeCell ref="A120:T120"/>
    <mergeCell ref="A178:I178"/>
    <mergeCell ref="A179:I179"/>
    <mergeCell ref="A34:I34"/>
    <mergeCell ref="A35:T35"/>
    <mergeCell ref="A89:I89"/>
    <mergeCell ref="A90:T90"/>
    <mergeCell ref="A114:I114"/>
    <mergeCell ref="A119:I119"/>
    <mergeCell ref="A103:T103"/>
    <mergeCell ref="A102:I102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JUNIO 30-2025
&amp;R
Página &amp;P de &amp;N</oddHeader>
  </headerFooter>
  <ignoredErrors>
    <ignoredError sqref="N51:N56 P97 N23:N31 F112 H112:I112 C33:I33 Q33 G23:I26 H27:I27 G28:I31 H51:I52 H54:I56 C18:D18 C19:E26 C3:E4 I4 C45:I46 C99:F99 C36 C5:F17 C27:F32 M87:O87 N95:Q95 P111 N111 M105:Q105 M104 M106:O106 M109:O110 C100 Q106 S88:T89 S93:T96 S102:T102 S109:T110 S104:T106 O104 Q91 B104:E113 Q109:Q110 B93:B101 F100 H100 B91:I92 S91:T91 C101:I101 N102:O102 N33:O34 S33:T34 F104:I111 C94:I95 C86:I88 B161:D162 N88:Q89 B153:E153 F156 F158:F159 F161:F162 F170:F171 B148:C148 B154:D159 B160:L160 N160 C85:F85 B85:B88 B45:B47 C47:F47 B167:L167 B163:C166 L166 N94:O94 Q93:Q94 N96:O96 Q96 Q104 Q102 C37:F43 B168:D171 B3:B33 B149:D152 F149:F152 E163:F163 H163:I164 K164 H165:L165 E165:F165 H166:I166 F168:I168 K168 C93:F93 H93:I93 C97:I98 C96:F96 H96:I96 B172:C175 B139:D139 I85 B36:B43 B44:F44 I57:I83 B48:F83 B84:F84" numberStoredAsText="1"/>
    <ignoredError sqref="M18:N18 N113 P18 P99 M26 M96 M99 M148:P148 M169:P169 M172:N172 P124 A115:K115 G124:I124 G126:I126 A140:A147 E123:L123 E127:F127 E131:L131 G140:I140 G143:I143 A120:T120 A117:Q118 S116:T118 M124:N124 M127:N127 H144:R144 E125:M125 H127:L127 E135:I135 H145:I145 P143 M128:N128 G128:I130 L129:N129 G146:I147 L136:N136 G136:I138 M137:N138 M155:N155 P127:P130 P145:P147 A122:F122 H122:I122 P126 P133:P134 P136:P138 M157:N157 M156:N156 P156 P106 N123:O123 Q123 G141:H142 N141:N142 M126 E132:O132 Q115 A116:O116 Q116 A121:I121 Q131:Q132 G133:I134 M143:N143 M115:O115 M145:M147 N131:O131 P160 K124 K126 K128 K130:N130 K133:N134 K137:K138 K141 K143 K145 K147 A123:A138 K135:R135 J154:O154 P154:Q154 S154:T154 A119:R119 T119 P155 P157 P172 P166 M163 P163 P125:Q125 S144:T144 S123:T123 S131:T132 S135:T135 S125:T125 R18 R3:R4 R26 R33:R34 R36 R45:R47 R91:R96 R104:R111 R112:R118 R121:R123 R125:R127 R139:R140 R148 R153:R157 R160:R163 R165:R174 R176:R179 R131:R132 R97:R102 N125 R86:R89 P26" formula="1"/>
    <ignoredError sqref="P109:P110 N104 P93 M168 M166:N166 M167:P167 M165:N165 M160 P164 M164 B144:F144 B140:F140 P168 F124 F126 F128:F130 B135:D138 F136:F138 B141:D143 F141:F143 B145:D147 B133:F134 B123:D132 F145:F147 P165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JUNIO-30-2025</vt:lpstr>
      <vt:lpstr>'JUNIO-30-2025'!Área_de_impresión</vt:lpstr>
      <vt:lpstr>'JUNIO-30-2025'!Títulos_a_imprimir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2025-07-08T20:09:03Z</cp:lastPrinted>
  <dcterms:created xsi:type="dcterms:W3CDTF">2016-02-01T15:56:25Z</dcterms:created>
  <dcterms:modified xsi:type="dcterms:W3CDTF">2025-07-08T20:34:02Z</dcterms:modified>
</cp:coreProperties>
</file>