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5/Diciembre/"/>
    </mc:Choice>
  </mc:AlternateContent>
  <xr:revisionPtr revIDLastSave="9" documentId="8_{D6A2D193-C0A7-4E81-8D83-2FFBA973BBA8}" xr6:coauthVersionLast="47" xr6:coauthVersionMax="47" xr10:uidLastSave="{6AAE6C4A-9926-4C01-B581-8FC36630C6A6}"/>
  <bookViews>
    <workbookView xWindow="-120" yWindow="-120" windowWidth="29040" windowHeight="15720" xr2:uid="{00000000-000D-0000-FFFF-FFFF00000000}"/>
  </bookViews>
  <sheets>
    <sheet name="DICIEMBRE 31-2025" sheetId="1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'DICIEMBRE 31-2025'!$A$1:$IY$188</definedName>
    <definedName name="_xlnm.Print_Area" localSheetId="0">'DICIEMBRE 31-2025'!$A$1:$T$193</definedName>
    <definedName name="_xlnm.Print_Titles" localSheetId="0">'DICIEMBRE 31-2025'!$1:$1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6" i="11" l="1"/>
  <c r="M96" i="11" s="1"/>
  <c r="M100" i="11"/>
  <c r="M97" i="11"/>
  <c r="L74" i="11"/>
  <c r="K74" i="11"/>
  <c r="M75" i="11" l="1"/>
  <c r="K167" i="11"/>
  <c r="K172" i="11"/>
  <c r="K88" i="11"/>
  <c r="K59" i="11" l="1"/>
  <c r="K52" i="11"/>
  <c r="K55" i="11"/>
  <c r="L181" i="11"/>
  <c r="M110" i="11"/>
  <c r="M113" i="11"/>
  <c r="M116" i="11"/>
  <c r="M117" i="11"/>
  <c r="M115" i="11" s="1"/>
  <c r="M119" i="11"/>
  <c r="M118" i="11" s="1"/>
  <c r="M103" i="11"/>
  <c r="Q115" i="11"/>
  <c r="O115" i="11"/>
  <c r="N115" i="11"/>
  <c r="L115" i="11"/>
  <c r="K115" i="11"/>
  <c r="J115" i="11"/>
  <c r="J108" i="11" s="1"/>
  <c r="J114" i="11"/>
  <c r="K118" i="11"/>
  <c r="J118" i="11"/>
  <c r="T118" i="11"/>
  <c r="S118" i="11"/>
  <c r="Q118" i="11"/>
  <c r="O118" i="11"/>
  <c r="N118" i="11"/>
  <c r="L118" i="11"/>
  <c r="T115" i="11"/>
  <c r="T114" i="11"/>
  <c r="S114" i="11"/>
  <c r="Q114" i="11"/>
  <c r="O114" i="11"/>
  <c r="N114" i="11"/>
  <c r="M114" i="11"/>
  <c r="L114" i="11"/>
  <c r="K114" i="11"/>
  <c r="S115" i="11"/>
  <c r="L101" i="11"/>
  <c r="L100" i="11"/>
  <c r="L68" i="11"/>
  <c r="L86" i="11"/>
  <c r="L83" i="11"/>
  <c r="L82" i="11"/>
  <c r="L81" i="11"/>
  <c r="L38" i="11"/>
  <c r="L80" i="11"/>
  <c r="K85" i="11"/>
  <c r="L53" i="11"/>
  <c r="L40" i="11" l="1"/>
  <c r="K102" i="11"/>
  <c r="M74" i="11"/>
  <c r="N74" i="11" s="1"/>
  <c r="L4" i="11"/>
  <c r="O165" i="11"/>
  <c r="O46" i="11"/>
  <c r="O48" i="11"/>
  <c r="O47" i="11"/>
  <c r="O36" i="11"/>
  <c r="Q156" i="11"/>
  <c r="R117" i="11"/>
  <c r="O112" i="11"/>
  <c r="S102" i="11"/>
  <c r="L88" i="11"/>
  <c r="L71" i="11"/>
  <c r="L67" i="11"/>
  <c r="L65" i="11"/>
  <c r="L64" i="11"/>
  <c r="K63" i="11"/>
  <c r="L61" i="11"/>
  <c r="L60" i="11"/>
  <c r="L59" i="11"/>
  <c r="L58" i="11"/>
  <c r="L52" i="11"/>
  <c r="K71" i="11"/>
  <c r="K81" i="11"/>
  <c r="L85" i="11"/>
  <c r="L84" i="11"/>
  <c r="L66" i="11"/>
  <c r="K61" i="11"/>
  <c r="K69" i="11"/>
  <c r="K66" i="11"/>
  <c r="L63" i="11"/>
  <c r="M63" i="11" s="1"/>
  <c r="L56" i="11"/>
  <c r="L41" i="11"/>
  <c r="K40" i="11"/>
  <c r="M40" i="11" s="1"/>
  <c r="N40" i="11" s="1"/>
  <c r="K80" i="11"/>
  <c r="K101" i="11"/>
  <c r="K29" i="11"/>
  <c r="K27" i="11"/>
  <c r="K23" i="11"/>
  <c r="K17" i="11"/>
  <c r="K12" i="11"/>
  <c r="K11" i="11"/>
  <c r="L57" i="11"/>
  <c r="K58" i="11"/>
  <c r="K42" i="11"/>
  <c r="T46" i="11"/>
  <c r="S46" i="11"/>
  <c r="Q46" i="11"/>
  <c r="M68" i="11"/>
  <c r="N68" i="11" s="1"/>
  <c r="K62" i="11"/>
  <c r="N62" i="11" s="1"/>
  <c r="L78" i="11"/>
  <c r="R115" i="11" l="1"/>
  <c r="R119" i="11"/>
  <c r="R118" i="11"/>
  <c r="P117" i="11"/>
  <c r="P115" i="11" s="1"/>
  <c r="P68" i="11"/>
  <c r="R68" i="11"/>
  <c r="L42" i="11"/>
  <c r="L79" i="11"/>
  <c r="L77" i="11"/>
  <c r="L70" i="11"/>
  <c r="L69" i="11"/>
  <c r="L62" i="11"/>
  <c r="L55" i="11"/>
  <c r="L54" i="11"/>
  <c r="L44" i="11"/>
  <c r="L37" i="11"/>
  <c r="K53" i="11"/>
  <c r="K43" i="11"/>
  <c r="K37" i="11"/>
  <c r="K67" i="11"/>
  <c r="K39" i="11"/>
  <c r="K38" i="11"/>
  <c r="K65" i="11"/>
  <c r="K64" i="11"/>
  <c r="M64" i="11" s="1"/>
  <c r="N64" i="11" s="1"/>
  <c r="K60" i="11"/>
  <c r="M60" i="11" s="1"/>
  <c r="M88" i="11"/>
  <c r="N88" i="11" s="1"/>
  <c r="K57" i="11"/>
  <c r="M85" i="11"/>
  <c r="N85" i="11" s="1"/>
  <c r="K83" i="11"/>
  <c r="L171" i="11"/>
  <c r="K168" i="11"/>
  <c r="T171" i="11"/>
  <c r="S171" i="11"/>
  <c r="Q171" i="11"/>
  <c r="O171" i="11"/>
  <c r="K171" i="11"/>
  <c r="J171" i="11"/>
  <c r="L168" i="11"/>
  <c r="M172" i="11"/>
  <c r="K84" i="11"/>
  <c r="N48" i="11"/>
  <c r="N18" i="11"/>
  <c r="N4" i="11"/>
  <c r="M5" i="11"/>
  <c r="P5" i="11" s="1"/>
  <c r="M167" i="11"/>
  <c r="N167" i="11" s="1"/>
  <c r="M164" i="11"/>
  <c r="N92" i="11"/>
  <c r="N172" i="11" l="1"/>
  <c r="P172" i="11" s="1"/>
  <c r="R172" i="11"/>
  <c r="M38" i="11"/>
  <c r="N38" i="11" s="1"/>
  <c r="N36" i="11" s="1"/>
  <c r="N3" i="11"/>
  <c r="N33" i="11" s="1"/>
  <c r="T108" i="11" l="1"/>
  <c r="T121" i="11" s="1"/>
  <c r="S108" i="11"/>
  <c r="S121" i="11" s="1"/>
  <c r="O108" i="11"/>
  <c r="O121" i="11" s="1"/>
  <c r="L108" i="11"/>
  <c r="K108" i="11"/>
  <c r="K121" i="11" s="1"/>
  <c r="J121" i="11"/>
  <c r="P119" i="11"/>
  <c r="P118" i="11" s="1"/>
  <c r="T112" i="11"/>
  <c r="S112" i="11"/>
  <c r="Q112" i="11"/>
  <c r="N112" i="11"/>
  <c r="L112" i="11"/>
  <c r="K112" i="11"/>
  <c r="J112" i="11"/>
  <c r="P108" i="11" l="1"/>
  <c r="P121" i="11" s="1"/>
  <c r="R116" i="11"/>
  <c r="P116" i="11"/>
  <c r="P114" i="11" s="1"/>
  <c r="Q108" i="11"/>
  <c r="Q121" i="11" s="1"/>
  <c r="K87" i="11"/>
  <c r="M108" i="11" l="1"/>
  <c r="M121" i="11" s="1"/>
  <c r="K86" i="11"/>
  <c r="K82" i="11"/>
  <c r="K56" i="11"/>
  <c r="K70" i="11"/>
  <c r="L51" i="11"/>
  <c r="L46" i="11" s="1"/>
  <c r="L43" i="11"/>
  <c r="T36" i="11"/>
  <c r="S36" i="11"/>
  <c r="Q36" i="11"/>
  <c r="K45" i="11"/>
  <c r="K44" i="11"/>
  <c r="L39" i="11"/>
  <c r="M112" i="11"/>
  <c r="M44" i="11" l="1"/>
  <c r="Q181" i="11"/>
  <c r="P44" i="11" l="1"/>
  <c r="R44" i="11"/>
  <c r="O89" i="11"/>
  <c r="T102" i="11"/>
  <c r="Q102" i="11"/>
  <c r="O102" i="11"/>
  <c r="N102" i="11"/>
  <c r="L102" i="11"/>
  <c r="Q95" i="11"/>
  <c r="Q94" i="11" s="1"/>
  <c r="R113" i="11"/>
  <c r="S109" i="11"/>
  <c r="S107" i="11" s="1"/>
  <c r="P113" i="11"/>
  <c r="P112" i="11" s="1"/>
  <c r="S168" i="11"/>
  <c r="T168" i="11"/>
  <c r="K54" i="11" l="1"/>
  <c r="K100" i="11"/>
  <c r="P191" i="11"/>
  <c r="P167" i="11"/>
  <c r="M136" i="11"/>
  <c r="M137" i="11"/>
  <c r="M138" i="11"/>
  <c r="M51" i="11" l="1"/>
  <c r="M53" i="11"/>
  <c r="N53" i="11" s="1"/>
  <c r="M54" i="11"/>
  <c r="M55" i="11"/>
  <c r="N55" i="11" s="1"/>
  <c r="M56" i="11"/>
  <c r="M57" i="11"/>
  <c r="M58" i="11"/>
  <c r="M59" i="11"/>
  <c r="N59" i="11" s="1"/>
  <c r="M61" i="11"/>
  <c r="M62" i="11"/>
  <c r="M66" i="11"/>
  <c r="M69" i="11"/>
  <c r="M70" i="11"/>
  <c r="M71" i="11"/>
  <c r="M72" i="11"/>
  <c r="M73" i="11"/>
  <c r="M76" i="11"/>
  <c r="M77" i="11"/>
  <c r="M78" i="11"/>
  <c r="K79" i="11"/>
  <c r="M79" i="11" s="1"/>
  <c r="M80" i="11"/>
  <c r="N80" i="11" s="1"/>
  <c r="M81" i="11"/>
  <c r="N81" i="11" s="1"/>
  <c r="M82" i="11"/>
  <c r="N82" i="11" s="1"/>
  <c r="M83" i="11"/>
  <c r="N83" i="11" s="1"/>
  <c r="M84" i="11"/>
  <c r="M86" i="11"/>
  <c r="N86" i="11" s="1"/>
  <c r="M87" i="11"/>
  <c r="M50" i="11"/>
  <c r="J46" i="11"/>
  <c r="M52" i="11" l="1"/>
  <c r="N52" i="11" s="1"/>
  <c r="N46" i="11" s="1"/>
  <c r="M65" i="11"/>
  <c r="M67" i="11"/>
  <c r="R51" i="11"/>
  <c r="P51" i="11"/>
  <c r="R50" i="11"/>
  <c r="P50" i="11"/>
  <c r="K49" i="11"/>
  <c r="K46" i="11" s="1"/>
  <c r="L47" i="11"/>
  <c r="K41" i="11"/>
  <c r="K36" i="11" l="1"/>
  <c r="L36" i="11"/>
  <c r="L89" i="11" s="1"/>
  <c r="M49" i="11"/>
  <c r="M46" i="11" s="1"/>
  <c r="R49" i="11" l="1"/>
  <c r="P49" i="11"/>
  <c r="T47" i="11" l="1"/>
  <c r="S47" i="11"/>
  <c r="Q47" i="11"/>
  <c r="N47" i="11"/>
  <c r="K47" i="11"/>
  <c r="K90" i="11" s="1"/>
  <c r="J47" i="11"/>
  <c r="J90" i="11" s="1"/>
  <c r="P87" i="11"/>
  <c r="K89" i="11"/>
  <c r="K92" i="11" l="1"/>
  <c r="R87" i="11"/>
  <c r="T48" i="11"/>
  <c r="P55" i="11"/>
  <c r="R65" i="11"/>
  <c r="O133" i="11"/>
  <c r="P65" i="11" l="1"/>
  <c r="R173" i="11"/>
  <c r="R167" i="11"/>
  <c r="R96" i="11"/>
  <c r="R64" i="11"/>
  <c r="T135" i="11"/>
  <c r="S135" i="11"/>
  <c r="Q135" i="11"/>
  <c r="O135" i="11"/>
  <c r="O147" i="11" l="1"/>
  <c r="O148" i="11"/>
  <c r="R54" i="11"/>
  <c r="R56" i="11"/>
  <c r="R58" i="11"/>
  <c r="R59" i="11"/>
  <c r="R60" i="11"/>
  <c r="R61" i="11"/>
  <c r="R62" i="11"/>
  <c r="R63" i="11"/>
  <c r="P64" i="11"/>
  <c r="R66" i="11"/>
  <c r="R70" i="11"/>
  <c r="R71" i="11"/>
  <c r="R72" i="11"/>
  <c r="R73" i="11"/>
  <c r="R77" i="11"/>
  <c r="R78" i="11"/>
  <c r="R82" i="11"/>
  <c r="R85" i="11"/>
  <c r="R86" i="11"/>
  <c r="R88" i="11"/>
  <c r="R53" i="11"/>
  <c r="R57" i="11"/>
  <c r="R80" i="11"/>
  <c r="R55" i="11"/>
  <c r="R67" i="11"/>
  <c r="J36" i="11"/>
  <c r="J89" i="11" s="1"/>
  <c r="M45" i="11"/>
  <c r="R45" i="11" s="1"/>
  <c r="R74" i="11"/>
  <c r="O174" i="11"/>
  <c r="O168" i="11"/>
  <c r="O163" i="11"/>
  <c r="R79" i="11"/>
  <c r="N95" i="11"/>
  <c r="N94" i="11" s="1"/>
  <c r="J143" i="11"/>
  <c r="R84" i="11" l="1"/>
  <c r="M47" i="11"/>
  <c r="M90" i="11" s="1"/>
  <c r="R75" i="11"/>
  <c r="P52" i="11"/>
  <c r="R52" i="11"/>
  <c r="M48" i="11"/>
  <c r="M91" i="11" s="1"/>
  <c r="R76" i="11"/>
  <c r="R83" i="11"/>
  <c r="R69" i="11"/>
  <c r="P69" i="11"/>
  <c r="R81" i="11"/>
  <c r="P45" i="11"/>
  <c r="J163" i="11"/>
  <c r="T147" i="11"/>
  <c r="S147" i="11"/>
  <c r="Q147" i="11"/>
  <c r="N147" i="11"/>
  <c r="L147" i="11"/>
  <c r="K147" i="11"/>
  <c r="J147" i="11"/>
  <c r="J109" i="11"/>
  <c r="J107" i="11" s="1"/>
  <c r="T148" i="11"/>
  <c r="S148" i="11"/>
  <c r="Q148" i="11"/>
  <c r="N148" i="11"/>
  <c r="L148" i="11"/>
  <c r="K148" i="11"/>
  <c r="J148" i="11"/>
  <c r="T95" i="11"/>
  <c r="T94" i="11" s="1"/>
  <c r="S95" i="11"/>
  <c r="S94" i="11" s="1"/>
  <c r="R95" i="11"/>
  <c r="O95" i="11"/>
  <c r="O94" i="11" s="1"/>
  <c r="L95" i="11"/>
  <c r="K95" i="11"/>
  <c r="J95" i="11"/>
  <c r="J94" i="11" s="1"/>
  <c r="J181" i="11"/>
  <c r="Q165" i="11"/>
  <c r="M183" i="11"/>
  <c r="M182" i="11"/>
  <c r="T181" i="11"/>
  <c r="S181" i="11"/>
  <c r="O181" i="11"/>
  <c r="L178" i="11"/>
  <c r="K178" i="11"/>
  <c r="K181" i="11"/>
  <c r="M111" i="11"/>
  <c r="R111" i="11" s="1"/>
  <c r="M132" i="11"/>
  <c r="L109" i="11"/>
  <c r="L107" i="11" s="1"/>
  <c r="J120" i="11" l="1"/>
  <c r="M109" i="11"/>
  <c r="M107" i="11" s="1"/>
  <c r="P183" i="11"/>
  <c r="R183" i="11"/>
  <c r="R46" i="11"/>
  <c r="P182" i="11"/>
  <c r="R182" i="11"/>
  <c r="M131" i="11"/>
  <c r="R132" i="11"/>
  <c r="P110" i="11"/>
  <c r="R110" i="11"/>
  <c r="M149" i="11"/>
  <c r="R149" i="11" s="1"/>
  <c r="M150" i="11"/>
  <c r="S133" i="11"/>
  <c r="T133" i="11"/>
  <c r="M120" i="11" l="1"/>
  <c r="M122" i="11" s="1"/>
  <c r="P150" i="11"/>
  <c r="R150" i="11"/>
  <c r="M147" i="11"/>
  <c r="R147" i="11" s="1"/>
  <c r="P149" i="11"/>
  <c r="P147" i="11" l="1"/>
  <c r="J102" i="11"/>
  <c r="J99" i="11"/>
  <c r="M102" i="11" l="1"/>
  <c r="R102" i="11" s="1"/>
  <c r="P40" i="11"/>
  <c r="R40" i="11"/>
  <c r="P61" i="11"/>
  <c r="P70" i="11"/>
  <c r="P78" i="11" l="1"/>
  <c r="P79" i="11" l="1"/>
  <c r="Q89" i="11" l="1"/>
  <c r="M41" i="11"/>
  <c r="J98" i="11"/>
  <c r="J97" i="11" s="1"/>
  <c r="J104" i="11" s="1"/>
  <c r="J105" i="11" s="1"/>
  <c r="T26" i="11"/>
  <c r="T18" i="11"/>
  <c r="T4" i="11"/>
  <c r="P41" i="11" l="1"/>
  <c r="R41" i="11"/>
  <c r="S89" i="11"/>
  <c r="T3" i="11"/>
  <c r="R5" i="11" l="1"/>
  <c r="M6" i="11"/>
  <c r="M7" i="11"/>
  <c r="M8" i="11"/>
  <c r="M9" i="11"/>
  <c r="M10" i="11"/>
  <c r="M11" i="11"/>
  <c r="M12" i="11"/>
  <c r="M13" i="11"/>
  <c r="M14" i="11"/>
  <c r="M15" i="11"/>
  <c r="M16" i="11"/>
  <c r="M17" i="11"/>
  <c r="M19" i="11"/>
  <c r="R19" i="11" s="1"/>
  <c r="M20" i="11"/>
  <c r="R20" i="11" s="1"/>
  <c r="M21" i="11"/>
  <c r="R21" i="11" s="1"/>
  <c r="M22" i="11"/>
  <c r="R22" i="11" s="1"/>
  <c r="M23" i="11"/>
  <c r="R23" i="11" s="1"/>
  <c r="M24" i="11"/>
  <c r="R24" i="11" s="1"/>
  <c r="M25" i="11"/>
  <c r="R25" i="11" s="1"/>
  <c r="M27" i="11"/>
  <c r="M28" i="11"/>
  <c r="M29" i="11"/>
  <c r="M30" i="11"/>
  <c r="M31" i="11"/>
  <c r="M32" i="11"/>
  <c r="M37" i="11"/>
  <c r="M42" i="11"/>
  <c r="M43" i="11"/>
  <c r="R43" i="11" s="1"/>
  <c r="J135" i="11"/>
  <c r="J156" i="11"/>
  <c r="J152" i="11"/>
  <c r="N181" i="11"/>
  <c r="T178" i="11"/>
  <c r="S178" i="11"/>
  <c r="Q178" i="11"/>
  <c r="O178" i="11"/>
  <c r="N178" i="11"/>
  <c r="J178" i="11"/>
  <c r="T176" i="11"/>
  <c r="S176" i="11"/>
  <c r="Q176" i="11"/>
  <c r="O176" i="11"/>
  <c r="N176" i="11"/>
  <c r="L176" i="11"/>
  <c r="K176" i="11"/>
  <c r="J176" i="11"/>
  <c r="T174" i="11"/>
  <c r="S174" i="11"/>
  <c r="Q174" i="11"/>
  <c r="N174" i="11"/>
  <c r="L174" i="11"/>
  <c r="K174" i="11"/>
  <c r="J174" i="11"/>
  <c r="Q168" i="11"/>
  <c r="N168" i="11"/>
  <c r="J168" i="11"/>
  <c r="T165" i="11"/>
  <c r="S165" i="11"/>
  <c r="L165" i="11"/>
  <c r="K165" i="11"/>
  <c r="J165" i="11"/>
  <c r="T163" i="11"/>
  <c r="S163" i="11"/>
  <c r="Q163" i="11"/>
  <c r="N163" i="11"/>
  <c r="L163" i="11"/>
  <c r="K163" i="11"/>
  <c r="T156" i="11"/>
  <c r="S156" i="11"/>
  <c r="O156" i="11"/>
  <c r="N156" i="11"/>
  <c r="L156" i="11"/>
  <c r="K156" i="11"/>
  <c r="K152" i="11"/>
  <c r="T152" i="11"/>
  <c r="S152" i="11"/>
  <c r="Q152" i="11"/>
  <c r="O152" i="11"/>
  <c r="N152" i="11"/>
  <c r="L152" i="11"/>
  <c r="L143" i="11"/>
  <c r="K143" i="11"/>
  <c r="T143" i="11"/>
  <c r="S143" i="11"/>
  <c r="Q143" i="11"/>
  <c r="O143" i="11"/>
  <c r="N143" i="11"/>
  <c r="T140" i="11"/>
  <c r="T130" i="11" s="1"/>
  <c r="S140" i="11"/>
  <c r="S130" i="11" s="1"/>
  <c r="Q140" i="11"/>
  <c r="O140" i="11"/>
  <c r="O130" i="11" s="1"/>
  <c r="N140" i="11"/>
  <c r="N130" i="11" s="1"/>
  <c r="L140" i="11"/>
  <c r="L130" i="11" s="1"/>
  <c r="K140" i="11"/>
  <c r="K130" i="11" s="1"/>
  <c r="J140" i="11"/>
  <c r="J130" i="11" s="1"/>
  <c r="T139" i="11"/>
  <c r="S139" i="11"/>
  <c r="Q139" i="11"/>
  <c r="O139" i="11"/>
  <c r="N139" i="11"/>
  <c r="L139" i="11"/>
  <c r="K139" i="11"/>
  <c r="J139" i="11"/>
  <c r="N135" i="11"/>
  <c r="L135" i="11"/>
  <c r="K135" i="11"/>
  <c r="J133" i="11"/>
  <c r="T131" i="11"/>
  <c r="S131" i="11"/>
  <c r="Q131" i="11"/>
  <c r="O131" i="11"/>
  <c r="J131" i="11"/>
  <c r="R16" i="11" l="1"/>
  <c r="P16" i="11"/>
  <c r="R11" i="11"/>
  <c r="P11" i="11"/>
  <c r="R10" i="11"/>
  <c r="P10" i="11"/>
  <c r="R14" i="11"/>
  <c r="P14" i="11"/>
  <c r="R9" i="11"/>
  <c r="P9" i="11"/>
  <c r="R13" i="11"/>
  <c r="P13" i="11"/>
  <c r="R8" i="11"/>
  <c r="P8" i="11"/>
  <c r="R15" i="11"/>
  <c r="P15" i="11"/>
  <c r="R7" i="11"/>
  <c r="P7" i="11"/>
  <c r="R6" i="11"/>
  <c r="P6" i="11"/>
  <c r="R12" i="11"/>
  <c r="P12" i="11"/>
  <c r="R17" i="11"/>
  <c r="P17" i="11"/>
  <c r="R38" i="11"/>
  <c r="Q162" i="11"/>
  <c r="Q161" i="11" s="1"/>
  <c r="R131" i="11"/>
  <c r="P32" i="11"/>
  <c r="R32" i="11"/>
  <c r="R29" i="11"/>
  <c r="P29" i="11"/>
  <c r="R28" i="11"/>
  <c r="P28" i="11"/>
  <c r="R31" i="11"/>
  <c r="P31" i="11"/>
  <c r="R30" i="11"/>
  <c r="P30" i="11"/>
  <c r="R27" i="11"/>
  <c r="P27" i="11"/>
  <c r="P42" i="11"/>
  <c r="R42" i="11"/>
  <c r="T129" i="11"/>
  <c r="R37" i="11"/>
  <c r="Q130" i="11"/>
  <c r="S129" i="11"/>
  <c r="O162" i="11"/>
  <c r="O161" i="11" s="1"/>
  <c r="J162" i="11"/>
  <c r="J161" i="11" s="1"/>
  <c r="J129" i="11"/>
  <c r="K162" i="11"/>
  <c r="K161" i="11" s="1"/>
  <c r="L162" i="11"/>
  <c r="L161" i="11" s="1"/>
  <c r="T162" i="11"/>
  <c r="T161" i="11" s="1"/>
  <c r="S162" i="11"/>
  <c r="S161" i="11" s="1"/>
  <c r="M39" i="11"/>
  <c r="R39" i="11" s="1"/>
  <c r="P53" i="11"/>
  <c r="L133" i="11"/>
  <c r="K133" i="11"/>
  <c r="Q133" i="11"/>
  <c r="Q129" i="11" s="1"/>
  <c r="O129" i="11"/>
  <c r="N133" i="11"/>
  <c r="N131" i="11"/>
  <c r="L131" i="11"/>
  <c r="K131" i="11"/>
  <c r="R164" i="11"/>
  <c r="M166" i="11"/>
  <c r="M165" i="11" s="1"/>
  <c r="N165" i="11" s="1"/>
  <c r="M169" i="11"/>
  <c r="M170" i="11"/>
  <c r="R170" i="11" s="1"/>
  <c r="M173" i="11"/>
  <c r="M171" i="11" s="1"/>
  <c r="M175" i="11"/>
  <c r="R175" i="11" s="1"/>
  <c r="M177" i="11"/>
  <c r="R177" i="11" s="1"/>
  <c r="M179" i="11"/>
  <c r="R179" i="11" s="1"/>
  <c r="M180" i="11"/>
  <c r="M184" i="11"/>
  <c r="R184" i="11" s="1"/>
  <c r="M134" i="11"/>
  <c r="R137" i="11"/>
  <c r="R138" i="11"/>
  <c r="M141" i="11"/>
  <c r="M142" i="11"/>
  <c r="R142" i="11" s="1"/>
  <c r="M144" i="11"/>
  <c r="R144" i="11" s="1"/>
  <c r="M145" i="11"/>
  <c r="R145" i="11" s="1"/>
  <c r="M146" i="11"/>
  <c r="R146" i="11" s="1"/>
  <c r="M151" i="11"/>
  <c r="M153" i="11"/>
  <c r="R153" i="11" s="1"/>
  <c r="M154" i="11"/>
  <c r="R154" i="11" s="1"/>
  <c r="M155" i="11"/>
  <c r="R155" i="11" s="1"/>
  <c r="M157" i="11"/>
  <c r="R157" i="11" s="1"/>
  <c r="M158" i="11"/>
  <c r="R158" i="11" s="1"/>
  <c r="M159" i="11"/>
  <c r="R159" i="11" s="1"/>
  <c r="M160" i="11"/>
  <c r="P111" i="11"/>
  <c r="N100" i="11"/>
  <c r="M101" i="11"/>
  <c r="R103" i="11"/>
  <c r="P85" i="11"/>
  <c r="R171" i="11" l="1"/>
  <c r="N171" i="11"/>
  <c r="N162" i="11" s="1"/>
  <c r="N161" i="11" s="1"/>
  <c r="R101" i="11"/>
  <c r="N101" i="11"/>
  <c r="Q185" i="11"/>
  <c r="R169" i="11"/>
  <c r="M168" i="11"/>
  <c r="R168" i="11" s="1"/>
  <c r="R166" i="11"/>
  <c r="P160" i="11"/>
  <c r="R160" i="11"/>
  <c r="M36" i="11"/>
  <c r="M89" i="11" s="1"/>
  <c r="R165" i="11"/>
  <c r="R100" i="11"/>
  <c r="P100" i="11"/>
  <c r="M95" i="11"/>
  <c r="P96" i="11"/>
  <c r="P95" i="11" s="1"/>
  <c r="P94" i="11" s="1"/>
  <c r="N129" i="11"/>
  <c r="P26" i="11"/>
  <c r="O185" i="11"/>
  <c r="P180" i="11"/>
  <c r="R180" i="11"/>
  <c r="M133" i="11"/>
  <c r="R133" i="11" s="1"/>
  <c r="R134" i="11"/>
  <c r="M135" i="11"/>
  <c r="R135" i="11" s="1"/>
  <c r="R136" i="11"/>
  <c r="M139" i="11"/>
  <c r="R139" i="11" s="1"/>
  <c r="R141" i="11"/>
  <c r="M148" i="11"/>
  <c r="R148" i="11" s="1"/>
  <c r="R151" i="11"/>
  <c r="K129" i="11"/>
  <c r="L129" i="11"/>
  <c r="P184" i="11"/>
  <c r="P181" i="11" s="1"/>
  <c r="M181" i="11"/>
  <c r="R181" i="11" s="1"/>
  <c r="M178" i="11"/>
  <c r="R178" i="11" s="1"/>
  <c r="M156" i="11"/>
  <c r="R156" i="11" s="1"/>
  <c r="P179" i="11"/>
  <c r="M174" i="11"/>
  <c r="R174" i="11" s="1"/>
  <c r="P175" i="11"/>
  <c r="P134" i="11"/>
  <c r="P133" i="11" s="1"/>
  <c r="M163" i="11"/>
  <c r="P164" i="11"/>
  <c r="P163" i="11" s="1"/>
  <c r="P144" i="11"/>
  <c r="M140" i="11"/>
  <c r="R140" i="11" s="1"/>
  <c r="P142" i="11"/>
  <c r="P140" i="11" s="1"/>
  <c r="P145" i="11"/>
  <c r="M176" i="11"/>
  <c r="R176" i="11" s="1"/>
  <c r="M143" i="11"/>
  <c r="R143" i="11" s="1"/>
  <c r="M152" i="11"/>
  <c r="R152" i="11" s="1"/>
  <c r="P151" i="11"/>
  <c r="P148" i="11" s="1"/>
  <c r="K186" i="11"/>
  <c r="R163" i="11" l="1"/>
  <c r="M162" i="11"/>
  <c r="M161" i="11" s="1"/>
  <c r="R36" i="11"/>
  <c r="P130" i="11"/>
  <c r="M129" i="11"/>
  <c r="R129" i="11" s="1"/>
  <c r="M130" i="11"/>
  <c r="T185" i="11"/>
  <c r="S185" i="11"/>
  <c r="J125" i="11"/>
  <c r="T186" i="11"/>
  <c r="S186" i="11"/>
  <c r="Q186" i="11"/>
  <c r="Q187" i="11" s="1"/>
  <c r="P170" i="11"/>
  <c r="P159" i="11"/>
  <c r="P158" i="11"/>
  <c r="P155" i="11"/>
  <c r="P154" i="11"/>
  <c r="P146" i="11"/>
  <c r="P143" i="11" s="1"/>
  <c r="P138" i="11"/>
  <c r="P137" i="11"/>
  <c r="P37" i="11"/>
  <c r="P38" i="11"/>
  <c r="P54" i="11"/>
  <c r="P56" i="11"/>
  <c r="P57" i="11"/>
  <c r="P58" i="11"/>
  <c r="P59" i="11"/>
  <c r="P60" i="11"/>
  <c r="P62" i="11"/>
  <c r="P63" i="11"/>
  <c r="P66" i="11"/>
  <c r="P67" i="11"/>
  <c r="P71" i="11"/>
  <c r="P72" i="11"/>
  <c r="P73" i="11"/>
  <c r="P74" i="11"/>
  <c r="P75" i="11"/>
  <c r="P47" i="11" s="1"/>
  <c r="P76" i="11"/>
  <c r="P48" i="11" s="1"/>
  <c r="P77" i="11"/>
  <c r="P80" i="11"/>
  <c r="P81" i="11"/>
  <c r="P82" i="11"/>
  <c r="P83" i="11"/>
  <c r="P84" i="11"/>
  <c r="P86" i="11"/>
  <c r="P88" i="11"/>
  <c r="P39" i="11"/>
  <c r="P43" i="11"/>
  <c r="L186" i="11"/>
  <c r="L121" i="11"/>
  <c r="L124" i="11" s="1"/>
  <c r="K124" i="11"/>
  <c r="L120" i="11"/>
  <c r="K109" i="11"/>
  <c r="K107" i="11" s="1"/>
  <c r="L99" i="11"/>
  <c r="L98" i="11" s="1"/>
  <c r="L97" i="11" s="1"/>
  <c r="K99" i="11"/>
  <c r="K98" i="11" s="1"/>
  <c r="K97" i="11" s="1"/>
  <c r="L94" i="11"/>
  <c r="K94" i="11"/>
  <c r="L48" i="11"/>
  <c r="K48" i="11"/>
  <c r="L90" i="11"/>
  <c r="L26" i="11"/>
  <c r="K26" i="11"/>
  <c r="L18" i="11"/>
  <c r="K18" i="11"/>
  <c r="K4" i="11"/>
  <c r="J186" i="11"/>
  <c r="J48" i="11"/>
  <c r="J26" i="11"/>
  <c r="J18" i="11"/>
  <c r="J4" i="11"/>
  <c r="O186" i="11"/>
  <c r="O187" i="11" s="1"/>
  <c r="R162" i="11" l="1"/>
  <c r="P46" i="11"/>
  <c r="K120" i="11"/>
  <c r="K122" i="11" s="1"/>
  <c r="P36" i="11"/>
  <c r="J91" i="11"/>
  <c r="J92" i="11" s="1"/>
  <c r="M186" i="11"/>
  <c r="R186" i="11" s="1"/>
  <c r="R130" i="11"/>
  <c r="R89" i="11"/>
  <c r="K125" i="11"/>
  <c r="K104" i="11"/>
  <c r="K105" i="11" s="1"/>
  <c r="S187" i="11"/>
  <c r="M99" i="11"/>
  <c r="L91" i="11"/>
  <c r="L92" i="11" s="1"/>
  <c r="L125" i="11"/>
  <c r="J185" i="11"/>
  <c r="J187" i="11" s="1"/>
  <c r="M4" i="11"/>
  <c r="L185" i="11"/>
  <c r="L187" i="11" s="1"/>
  <c r="K185" i="11"/>
  <c r="K187" i="11" s="1"/>
  <c r="L122" i="11"/>
  <c r="L104" i="11"/>
  <c r="L105" i="11" s="1"/>
  <c r="L3" i="11"/>
  <c r="L33" i="11" s="1"/>
  <c r="L34" i="11" s="1"/>
  <c r="K3" i="11"/>
  <c r="K33" i="11" s="1"/>
  <c r="K34" i="11" s="1"/>
  <c r="N185" i="11"/>
  <c r="J3" i="11"/>
  <c r="R47" i="11"/>
  <c r="Q48" i="11"/>
  <c r="R48" i="11" s="1"/>
  <c r="O90" i="11"/>
  <c r="M94" i="11"/>
  <c r="P101" i="11"/>
  <c r="P103" i="11"/>
  <c r="P102" i="11" s="1"/>
  <c r="S26" i="11"/>
  <c r="Q26" i="11"/>
  <c r="O26" i="11"/>
  <c r="M26" i="11"/>
  <c r="S18" i="11"/>
  <c r="Q18" i="11"/>
  <c r="O18" i="11"/>
  <c r="M18" i="11"/>
  <c r="S4" i="11"/>
  <c r="Q4" i="11"/>
  <c r="O4" i="11"/>
  <c r="J124" i="11" l="1"/>
  <c r="J122" i="11"/>
  <c r="L123" i="11"/>
  <c r="K123" i="11"/>
  <c r="J126" i="11"/>
  <c r="M3" i="11"/>
  <c r="R18" i="11"/>
  <c r="R26" i="11"/>
  <c r="R4" i="11"/>
  <c r="J33" i="11"/>
  <c r="M98" i="11"/>
  <c r="L126" i="11"/>
  <c r="M92" i="11"/>
  <c r="N90" i="11"/>
  <c r="N125" i="11" s="1"/>
  <c r="O125" i="11"/>
  <c r="Q90" i="11"/>
  <c r="S90" i="11"/>
  <c r="T90" i="11"/>
  <c r="M126" i="11"/>
  <c r="N91" i="11"/>
  <c r="N126" i="11" s="1"/>
  <c r="O91" i="11"/>
  <c r="O126" i="11" s="1"/>
  <c r="S48" i="11"/>
  <c r="S91" i="11" s="1"/>
  <c r="S126" i="11" s="1"/>
  <c r="T91" i="11"/>
  <c r="T126" i="11" s="1"/>
  <c r="P166" i="11"/>
  <c r="P165" i="11" s="1"/>
  <c r="P169" i="11"/>
  <c r="P168" i="11" s="1"/>
  <c r="P173" i="11"/>
  <c r="P171" i="11" s="1"/>
  <c r="P174" i="11"/>
  <c r="P177" i="11"/>
  <c r="P176" i="11" s="1"/>
  <c r="P178" i="11"/>
  <c r="P136" i="11"/>
  <c r="P135" i="11" s="1"/>
  <c r="P141" i="11"/>
  <c r="P139" i="11" s="1"/>
  <c r="P153" i="11"/>
  <c r="P152" i="11" s="1"/>
  <c r="P157" i="11"/>
  <c r="P156" i="11" s="1"/>
  <c r="P132" i="11"/>
  <c r="P131" i="11" s="1"/>
  <c r="Q109" i="11"/>
  <c r="Q107" i="11" s="1"/>
  <c r="R94" i="11"/>
  <c r="N104" i="11"/>
  <c r="Q99" i="11"/>
  <c r="O109" i="11"/>
  <c r="O107" i="11" s="1"/>
  <c r="P99" i="11"/>
  <c r="T109" i="11"/>
  <c r="T107" i="11" s="1"/>
  <c r="O99" i="11"/>
  <c r="O98" i="11" s="1"/>
  <c r="O97" i="11" s="1"/>
  <c r="P19" i="11"/>
  <c r="P20" i="11"/>
  <c r="P21" i="11"/>
  <c r="P22" i="11"/>
  <c r="P23" i="11"/>
  <c r="P24" i="11"/>
  <c r="P25" i="11"/>
  <c r="N109" i="11"/>
  <c r="N107" i="11" s="1"/>
  <c r="N99" i="11"/>
  <c r="S120" i="11"/>
  <c r="S122" i="11" s="1"/>
  <c r="T99" i="11"/>
  <c r="T98" i="11" s="1"/>
  <c r="T97" i="11" s="1"/>
  <c r="S99" i="11"/>
  <c r="S98" i="11" s="1"/>
  <c r="S97" i="11" s="1"/>
  <c r="J34" i="11" l="1"/>
  <c r="J123" i="11"/>
  <c r="T120" i="11"/>
  <c r="T122" i="11" s="1"/>
  <c r="N120" i="11"/>
  <c r="O120" i="11"/>
  <c r="O122" i="11" s="1"/>
  <c r="R109" i="11"/>
  <c r="N108" i="11"/>
  <c r="N121" i="11" s="1"/>
  <c r="N124" i="11" s="1"/>
  <c r="R90" i="11"/>
  <c r="Q98" i="11"/>
  <c r="R99" i="11"/>
  <c r="M125" i="11"/>
  <c r="P129" i="11"/>
  <c r="P162" i="11"/>
  <c r="P161" i="11" s="1"/>
  <c r="P109" i="11"/>
  <c r="P107" i="11" s="1"/>
  <c r="O104" i="11"/>
  <c r="O105" i="11" s="1"/>
  <c r="P186" i="11"/>
  <c r="L127" i="11"/>
  <c r="T104" i="11"/>
  <c r="T105" i="11" s="1"/>
  <c r="P18" i="11"/>
  <c r="P4" i="11"/>
  <c r="T89" i="11"/>
  <c r="T92" i="11" s="1"/>
  <c r="P89" i="11"/>
  <c r="Q91" i="11"/>
  <c r="P91" i="11"/>
  <c r="P126" i="11" s="1"/>
  <c r="N187" i="11"/>
  <c r="O3" i="11"/>
  <c r="O33" i="11" s="1"/>
  <c r="O34" i="11" s="1"/>
  <c r="P98" i="11"/>
  <c r="P97" i="11" s="1"/>
  <c r="N34" i="11"/>
  <c r="O92" i="11"/>
  <c r="T33" i="11"/>
  <c r="S3" i="11"/>
  <c r="S33" i="11" s="1"/>
  <c r="S34" i="11" s="1"/>
  <c r="Q3" i="11"/>
  <c r="M33" i="11"/>
  <c r="T125" i="11"/>
  <c r="S125" i="11"/>
  <c r="N105" i="11"/>
  <c r="M124" i="11"/>
  <c r="P124" i="11"/>
  <c r="T124" i="11"/>
  <c r="Q125" i="11"/>
  <c r="Q120" i="11"/>
  <c r="Q122" i="11" s="1"/>
  <c r="L188" i="11" l="1"/>
  <c r="N122" i="11"/>
  <c r="P120" i="11"/>
  <c r="P122" i="11" s="1"/>
  <c r="S124" i="11"/>
  <c r="M34" i="11"/>
  <c r="R114" i="11"/>
  <c r="P104" i="11"/>
  <c r="P105" i="11" s="1"/>
  <c r="R125" i="11"/>
  <c r="R3" i="11"/>
  <c r="Q126" i="11"/>
  <c r="R126" i="11" s="1"/>
  <c r="R91" i="11"/>
  <c r="Q97" i="11"/>
  <c r="Q104" i="11" s="1"/>
  <c r="R98" i="11"/>
  <c r="P185" i="11"/>
  <c r="P187" i="11" s="1"/>
  <c r="P3" i="11"/>
  <c r="P33" i="11" s="1"/>
  <c r="P34" i="11" s="1"/>
  <c r="M104" i="11"/>
  <c r="M123" i="11" s="1"/>
  <c r="M127" i="11" s="1"/>
  <c r="S92" i="11"/>
  <c r="T34" i="11"/>
  <c r="T123" i="11"/>
  <c r="T127" i="11" s="1"/>
  <c r="J127" i="11"/>
  <c r="J188" i="11" s="1"/>
  <c r="R120" i="11"/>
  <c r="T187" i="11"/>
  <c r="Q92" i="11"/>
  <c r="R92" i="11" s="1"/>
  <c r="P90" i="11"/>
  <c r="P125" i="11" s="1"/>
  <c r="Q33" i="11"/>
  <c r="R108" i="11"/>
  <c r="N123" i="11"/>
  <c r="N127" i="11" s="1"/>
  <c r="N188" i="11" l="1"/>
  <c r="O124" i="11"/>
  <c r="O123" i="11"/>
  <c r="R33" i="11"/>
  <c r="Q123" i="11"/>
  <c r="R112" i="11"/>
  <c r="R107" i="11"/>
  <c r="R97" i="11"/>
  <c r="M105" i="11"/>
  <c r="P123" i="11"/>
  <c r="P127" i="11" s="1"/>
  <c r="P188" i="11" s="1"/>
  <c r="T188" i="11"/>
  <c r="Q34" i="11"/>
  <c r="R34" i="11" s="1"/>
  <c r="P92" i="11"/>
  <c r="R121" i="11"/>
  <c r="O127" i="11" l="1"/>
  <c r="O188" i="11" s="1"/>
  <c r="R123" i="11"/>
  <c r="R104" i="11"/>
  <c r="Q105" i="11"/>
  <c r="R105" i="11" s="1"/>
  <c r="Q124" i="11"/>
  <c r="R124" i="11" s="1"/>
  <c r="R122" i="11"/>
  <c r="Q127" i="11" l="1"/>
  <c r="Q188" i="11" s="1"/>
  <c r="R161" i="11"/>
  <c r="R127" i="11" l="1"/>
  <c r="M185" i="11"/>
  <c r="M187" i="11" l="1"/>
  <c r="R185" i="11"/>
  <c r="M188" i="11" l="1"/>
  <c r="M190" i="11" s="1"/>
  <c r="R187" i="11"/>
  <c r="K126" i="11"/>
  <c r="K127" i="11" l="1"/>
  <c r="R188" i="11"/>
  <c r="K188" i="11" l="1"/>
  <c r="S104" i="11"/>
  <c r="S105" i="11" s="1"/>
  <c r="S123" i="11" l="1"/>
  <c r="S127" i="11" s="1"/>
  <c r="S188" i="11" s="1"/>
</calcChain>
</file>

<file path=xl/sharedStrings.xml><?xml version="1.0" encoding="utf-8"?>
<sst xmlns="http://schemas.openxmlformats.org/spreadsheetml/2006/main" count="1270" uniqueCount="242">
  <si>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</si>
  <si>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</si>
  <si>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</si>
  <si>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</si>
  <si>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</si>
  <si>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</si>
  <si>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</si>
  <si>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</si>
  <si>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</si>
  <si>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</si>
  <si>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</si>
  <si>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</si>
  <si>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</si>
  <si>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</si>
  <si>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</si>
  <si>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</si>
  <si>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</si>
  <si>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</si>
  <si>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</si>
  <si>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</si>
  <si>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</si>
  <si>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</si>
  <si>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</si>
  <si>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</si>
  <si>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</si>
  <si>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</si>
  <si>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</si>
  <si>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</si>
  <si>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</si>
  <si>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</si>
  <si>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</si>
  <si>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</si>
  <si>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</si>
  <si>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</si>
  <si>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</si>
  <si>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</si>
  <si>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</si>
  <si>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</si>
  <si>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</si>
  <si>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</si>
  <si>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</si>
  <si>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</si>
  <si>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</si>
  <si>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</si>
  <si>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</si>
  <si>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</si>
  <si>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</si>
  <si>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</si>
  <si>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</si>
  <si>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</si>
  <si>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</si>
  <si>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</si>
  <si>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</si>
  <si>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</si>
  <si>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</si>
  <si>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</si>
  <si>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</si>
  <si>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</si>
  <si>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</si>
  <si>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</si>
  <si>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</si>
  <si>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</si>
  <si>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</si>
  <si>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</si>
  <si>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</si>
  <si>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</si>
  <si>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</si>
  <si>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</si>
  <si>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</si>
  <si>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</si>
  <si>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</si>
  <si>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</si>
  <si>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</si>
  <si>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</si>
  <si>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</si>
  <si>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</si>
  <si>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</si>
  <si>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</si>
  <si>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</si>
  <si>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</si>
  <si>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</si>
  <si>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</si>
  <si>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</si>
  <si>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</si>
  <si>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</si>
  <si>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</si>
  <si>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</si>
  <si>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</si>
  <si>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</si>
  <si>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</si>
  <si>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</si>
  <si>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</si>
  <si>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</si>
  <si>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</si>
  <si>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</si>
  <si>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</si>
  <si>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</si>
  <si>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19</t>
  </si>
  <si>
    <t>23</t>
  </si>
  <si>
    <t>EFECTIVIDAD DE LA INVESTIGACION PENAL Y TECNICO CIENTIFICA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</si>
  <si>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</si>
  <si>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</si>
  <si>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</si>
  <si>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</si>
  <si>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</si>
  <si>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</si>
  <si>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</si>
  <si>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</si>
  <si>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</si>
  <si>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</si>
  <si>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</si>
  <si>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</si>
  <si>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</si>
  <si>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</si>
  <si>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</si>
  <si>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</si>
  <si>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</si>
  <si>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</si>
  <si>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</si>
  <si>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</si>
  <si>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</si>
  <si>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</si>
  <si>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</si>
  <si>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</si>
  <si>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</si>
  <si>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</si>
  <si>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</si>
  <si>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</si>
  <si>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</si>
  <si>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</si>
  <si>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</si>
  <si>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</si>
  <si>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</si>
  <si>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</si>
  <si>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</si>
  <si>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</si>
  <si>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</si>
  <si>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</si>
  <si>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</si>
  <si>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</si>
  <si>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APARATOS MÉDICOS, INSTRUMENTOS ÓPTICOS Y DE PRECISIÓN, RELOJES</t>
  </si>
  <si>
    <t>SERVICIOS PROFESIONALES, CIENTÍFICOS Y TÉCNICOS (EXCEPTO LOS SERVICIOS DE INVESTIGACION, URBANISMO, JURÍDICOS Y DE CONTABILIDAD)</t>
  </si>
  <si>
    <t>SERVICIOS RECREATIVOS, CULTURALES Y DEPORTIVOS</t>
  </si>
  <si>
    <t>20111d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</si>
  <si>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</si>
  <si>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</si>
  <si>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</si>
  <si>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</si>
  <si>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</si>
  <si>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</si>
  <si>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</si>
  <si>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</si>
  <si>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</si>
  <si>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</si>
  <si>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</si>
  <si>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</si>
  <si>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</si>
  <si>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</si>
  <si>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</si>
  <si>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</si>
  <si>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</si>
  <si>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</si>
  <si>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</si>
  <si>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</si>
  <si>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2999055</t>
  </si>
  <si>
    <t>2999016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</si>
  <si>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</si>
  <si>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</si>
  <si>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</si>
  <si>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</si>
  <si>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</si>
  <si>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</si>
  <si>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</si>
  <si>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</si>
  <si>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</si>
  <si>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</si>
  <si>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</si>
  <si>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</si>
  <si>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</si>
  <si>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</si>
  <si>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</si>
  <si>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</si>
  <si>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</si>
  <si>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</si>
  <si>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</si>
  <si>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</si>
  <si>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</si>
  <si>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</si>
  <si>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</si>
  <si>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</si>
  <si>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</si>
  <si>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SEDES MANTENIDAS - MEJORAMIENTO DEL PARQUE AUTOMOTOR DEL INSTITUTO NACIONAL DE MEDICINA LEGAL Y CIENCIAS FORENSES A NIVEL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</si>
  <si>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</si>
  <si>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</si>
  <si>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</si>
  <si>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</si>
  <si>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</si>
  <si>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</si>
  <si>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</si>
  <si>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</si>
  <si>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</si>
  <si>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</si>
  <si>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</si>
  <si>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</si>
  <si>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MEJORAMIENTO DEL PARQUE AUTOMOTOR DEL INSTITUTO NACIONAL DE MEDICINA LEGAL Y CIENCIAS FORENSES A NIVEL  NACIONAL</t>
  </si>
  <si>
    <t>DESARROLLO DE LA GESTIÓN AMBIENTAL INTEGRAL EN LAS SEDES DEL INSTITUTO NACIONAL DE MEDICINA LEGAL Y CIENCIAS FORENSES  NACIONAL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</si>
  <si>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</si>
  <si>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</si>
  <si>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</si>
  <si>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</si>
  <si>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</si>
  <si>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</si>
  <si>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ARTICULOS TEXTILES (EXCEPTO PRENDAS DE VESTIR)</t>
  </si>
  <si>
    <t xml:space="preserve">Reviso: Cesar Augusto Acuña Reyes- coordinador- Grupo Nacional de Gestión Presupuestal </t>
  </si>
  <si>
    <t>Elaboro: Martha C. Florez Giraldo - Profes. Univer. Grupo Nacional de Gestión Presupuestal</t>
  </si>
  <si>
    <t>PASTA O PULPA, PAPEL Y PRODUCTOS DE PAPEL; IMPRESOS Y ARTÍCULOS SIMILARES</t>
  </si>
  <si>
    <t>20111D</t>
  </si>
  <si>
    <t>20109C</t>
  </si>
  <si>
    <t>20113A</t>
  </si>
  <si>
    <t>53105B</t>
  </si>
  <si>
    <t>FORTALECIMIENTO  DEL SISTEMA DE ATENCION AL CUIDADANO DEL INSTITUTO NACIONAL DE MEDICINA LEGAL Y CIENCIAS FORENSES NACIONAL</t>
  </si>
  <si>
    <t>ADQUIS. DE BYS - SERVICIOS DE INFORMACIÓN IMPLEMENTADOS  - FORTALECIMIENTO DEL SISTEMA  DE ATENCION AL CUIDADANO DEL L INSTITUTO NACIONAL DE MEDICINA LEGAL Y CIENCIAS FORENSES  NACIONAL</t>
  </si>
  <si>
    <t>ADQUIS. DE BYS - SERVICIOS DE INFORMACION ACTUALIZADOS FORTALECIMIENTO  DE LA PLANEACION ESTRATEGICA Y DEL  SISTEMA  INTEGRADO DE GESTION EN EL INSTITUTO NACIONAL  DE MEDICINA LEGAL  Y CIENCIAS FORESNES NACIONAL</t>
  </si>
  <si>
    <t>CONSTRUCCION, DOTACION Y ADECUACION DE EDIFICIOS SEDES DEL INSTITUTO NACIONAL DE MEDICINA LEGAL  Y CIENCIAS FORENSES NACIONAL</t>
  </si>
  <si>
    <t>ADQUIS. DE BYS-SEDES ADECUADAS-CONSTRUCCION, DOTACION Y ADECUACION DE EDIFICIOS SEDES DEL INSTITUTO NACIONAL DE MEDICINA LEGAL  Y CIENCIAS FORENSES NACIONAL</t>
  </si>
  <si>
    <t>ADQUIS. DE BYS-SEDES CON REFORZAMIENTO ESTRUCTUTAL- CONSTRUCCION, DOTACION Y ADECUACION DE EDIFICIOS SEDES DEL INSTITUTO NACIONAL DE MEDICINA LEGAL  Y CIENCIAS FORENSES NACIONAL</t>
  </si>
  <si>
    <t>ADQUIS. DE BYS-SEDE CONSTRUIDA Y DOTADA-CONSTRUCCION, DOTACION Y ADECUACION DE EDIFICIOS SEDES DEL INSTITUTO NACIONAL DE MEDICINA LEGAL  Y CIENCIAS FORENSES NACIONAL</t>
  </si>
  <si>
    <t>OTRAS TRANSFERENCIAS - DISTRIBUCION PREVIO CONCEPTO DGPPN</t>
  </si>
  <si>
    <t>INCAPACIDADES Y LICENCIAS DE MATERNIDAD Y PATERNIDAD(NO DE PENSIONES)</t>
  </si>
  <si>
    <t>FORTALECIMIENTO Y APOYO A LA GESTION INSTITUCIONAL DEL SECTOR FISCALIA</t>
  </si>
  <si>
    <t>APROP. BLOQUEADA</t>
  </si>
  <si>
    <t>EQUIPO DE TRANSPORTE</t>
  </si>
  <si>
    <t>OTROS MINERALES</t>
  </si>
  <si>
    <t>PIEDRA ARENA Y ARCILLA</t>
  </si>
  <si>
    <t xml:space="preserve"> </t>
  </si>
  <si>
    <t>ESTAMPILLAS</t>
  </si>
  <si>
    <t>EQUIPO MILITAR Y POLICÍA</t>
  </si>
  <si>
    <t>ADQUIS. DE BYS -SEDES ADECUADAS - FORTALECIMIENTO DEL SISTEMA  DE ATENCION AL CUIDADANO DEL L INSTITUTO NACIONAL DE MEDICINA LEGAL Y CIENCIAS FORENSES  NACIONAL</t>
  </si>
  <si>
    <t>SANCIONES ADMINISTRATIVAS</t>
  </si>
  <si>
    <t>05</t>
  </si>
  <si>
    <t>MULTAS, SANCIONES E INTERESES DE MORA</t>
  </si>
  <si>
    <t>Fecha: Enero 29-2026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</si>
</sst>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6"/>
      <color rgb="FFFF0000"/>
      <name val="Arial Narrow"/>
      <family val="2"/>
    </font>
    <font>
      <sz val="9"/>
      <name val="Calibri"/>
      <family val="2"/>
    </font>
    <font>
      <b/>
      <sz val="6"/>
      <color rgb="FFFF0000"/>
      <name val="Arial Narrow"/>
      <family val="2"/>
    </font>
    <font>
      <sz val="6"/>
      <color rgb="FFC00000"/>
      <name val="Arial Narrow"/>
      <family val="2"/>
    </font>
    <font>
      <b/>
      <sz val="6"/>
      <color rgb="FFC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48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/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164" fontId="23" fillId="4" borderId="1" xfId="1" applyFont="1" applyFill="1" applyBorder="1" applyAlignment="1">
      <alignment horizontal="right" vertical="center" wrapText="1" readingOrder="1"/>
    </xf>
    <xf numFmtId="0" fontId="9" fillId="0" borderId="0" xfId="2" applyFont="1" applyAlignment="1">
      <alignment horizontal="center" vertical="center" wrapText="1"/>
    </xf>
    <xf numFmtId="10" fontId="9" fillId="0" borderId="0" xfId="4" applyNumberFormat="1" applyFont="1" applyFill="1" applyBorder="1" applyAlignment="1">
      <alignment horizontal="right" vertical="center" wrapText="1" readingOrder="1"/>
    </xf>
    <xf numFmtId="164" fontId="21" fillId="0" borderId="0" xfId="1" applyFont="1" applyAlignment="1">
      <alignment vertical="top" wrapText="1"/>
    </xf>
    <xf numFmtId="164" fontId="5" fillId="0" borderId="0" xfId="1" applyFont="1" applyFill="1" applyBorder="1"/>
    <xf numFmtId="164" fontId="23" fillId="0" borderId="1" xfId="1" applyFont="1" applyFill="1" applyBorder="1" applyAlignment="1">
      <alignment horizontal="right" vertical="center" wrapText="1" readingOrder="1"/>
    </xf>
    <xf numFmtId="4" fontId="8" fillId="0" borderId="1" xfId="1" applyNumberFormat="1" applyFont="1" applyFill="1" applyBorder="1" applyAlignment="1">
      <alignment horizontal="right" vertical="center" wrapText="1" readingOrder="1"/>
    </xf>
    <xf numFmtId="164" fontId="17" fillId="0" borderId="31" xfId="1" applyFont="1" applyFill="1" applyBorder="1" applyAlignment="1">
      <alignment horizontal="right" vertical="center" wrapText="1" readingOrder="1"/>
    </xf>
    <xf numFmtId="43" fontId="7" fillId="4" borderId="1" xfId="1" applyNumberFormat="1" applyFont="1" applyFill="1" applyBorder="1" applyAlignment="1">
      <alignment horizontal="right" vertical="center" wrapText="1" readingOrder="1"/>
    </xf>
    <xf numFmtId="0" fontId="7" fillId="4" borderId="1" xfId="0" applyFont="1" applyFill="1" applyBorder="1" applyAlignment="1">
      <alignment vertical="center" wrapText="1" readingOrder="1"/>
    </xf>
    <xf numFmtId="0" fontId="12" fillId="4" borderId="1" xfId="0" applyFont="1" applyFill="1" applyBorder="1" applyAlignment="1">
      <alignment horizontal="center" vertical="center" wrapText="1" readingOrder="1"/>
    </xf>
    <xf numFmtId="43" fontId="7" fillId="3" borderId="1" xfId="1" applyNumberFormat="1" applyFont="1" applyFill="1" applyBorder="1" applyAlignment="1">
      <alignment horizontal="right" vertical="center" wrapText="1" readingOrder="1"/>
    </xf>
    <xf numFmtId="164" fontId="24" fillId="4" borderId="0" xfId="1" applyFont="1" applyFill="1" applyBorder="1"/>
    <xf numFmtId="164" fontId="5" fillId="4" borderId="0" xfId="1" applyFont="1" applyFill="1" applyBorder="1"/>
    <xf numFmtId="164" fontId="25" fillId="3" borderId="1" xfId="1" applyFont="1" applyFill="1" applyBorder="1" applyAlignment="1">
      <alignment horizontal="right" vertical="center" wrapText="1" readingOrder="1"/>
    </xf>
    <xf numFmtId="43" fontId="7" fillId="0" borderId="1" xfId="1" applyNumberFormat="1" applyFont="1" applyFill="1" applyBorder="1" applyAlignment="1">
      <alignment horizontal="right" vertical="center" wrapText="1" readingOrder="1"/>
    </xf>
    <xf numFmtId="0" fontId="8" fillId="4" borderId="3" xfId="0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center" vertical="center" wrapText="1" readingOrder="1"/>
    </xf>
    <xf numFmtId="49" fontId="8" fillId="4" borderId="1" xfId="0" applyNumberFormat="1" applyFont="1" applyFill="1" applyBorder="1" applyAlignment="1">
      <alignment horizontal="center" vertical="center" wrapText="1" readingOrder="1"/>
    </xf>
    <xf numFmtId="164" fontId="26" fillId="0" borderId="1" xfId="1" applyFont="1" applyFill="1" applyBorder="1" applyAlignment="1">
      <alignment horizontal="right" vertical="center" wrapText="1" readingOrder="1"/>
    </xf>
    <xf numFmtId="164" fontId="26" fillId="4" borderId="1" xfId="1" applyFont="1" applyFill="1" applyBorder="1" applyAlignment="1">
      <alignment horizontal="right" vertical="center" wrapText="1" readingOrder="1"/>
    </xf>
    <xf numFmtId="164" fontId="27" fillId="0" borderId="1" xfId="1" applyFont="1" applyFill="1" applyBorder="1" applyAlignment="1">
      <alignment horizontal="right"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30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colors>
    <mruColors>
      <color rgb="FFFF47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\Desktop\DESAGREGADO%2031%20DE%20DICIEMBRE%202025%20(3).xlsx" TargetMode="External"/><Relationship Id="rId1" Type="http://schemas.openxmlformats.org/officeDocument/2006/relationships/externalLinkPath" Target="file:///C:\Users\Admin\Desktop\DESAGREGADO%2031%20DE%20DICIEMBRE%202025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ESUPUESTO\PRES-2025%20-OCTUBRE-28-2025\INFORMES%20DE%20EJECUCION%202025\NOV-30-2025\INFORMES%2030%20DE%20NOVIEMBRE%202025\DESAGREGADO%2030%20DE%20NOV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escargas\DECRETO%2031%20DE%20DICIEMBRE%202025%20(2).xlsx" TargetMode="External"/><Relationship Id="rId1" Type="http://schemas.openxmlformats.org/officeDocument/2006/relationships/externalLinkPath" Target="file:///D:\Descargas\DECRETO%2031%20DE%20DICIEMBRE%202025%20(2)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\Desktop\DECRETO%2031%20DE%20DICIEMBRE%202025%20(4).xlsx" TargetMode="External"/><Relationship Id="rId1" Type="http://schemas.openxmlformats.org/officeDocument/2006/relationships/externalLinkPath" Target="file:///C:\Users\Admin\Desktop\DECRETO%2031%20DE%20DICIEMBRE%202025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_EPG034_EjecucionPresupuesta"/>
    </sheetNames>
    <sheetDataSet>
      <sheetData sheetId="0">
        <row r="32">
          <cell r="T32">
            <v>324482695</v>
          </cell>
        </row>
        <row r="34">
          <cell r="T34">
            <v>709060189.29999995</v>
          </cell>
        </row>
        <row r="43">
          <cell r="T43">
            <v>31324040</v>
          </cell>
        </row>
        <row r="44">
          <cell r="T44">
            <v>683474153.76999998</v>
          </cell>
        </row>
        <row r="46">
          <cell r="T46">
            <v>358009282</v>
          </cell>
        </row>
        <row r="50">
          <cell r="T50">
            <v>845613990.16999996</v>
          </cell>
        </row>
        <row r="55">
          <cell r="T55">
            <v>9823610.2200000007</v>
          </cell>
        </row>
        <row r="59">
          <cell r="T59">
            <v>935000000</v>
          </cell>
        </row>
        <row r="65">
          <cell r="T65">
            <v>3777011356.1300001</v>
          </cell>
        </row>
        <row r="72">
          <cell r="T72">
            <v>2981692934.3899999</v>
          </cell>
        </row>
        <row r="73">
          <cell r="T73">
            <v>167269648</v>
          </cell>
        </row>
        <row r="74">
          <cell r="T74">
            <v>17927519195.849998</v>
          </cell>
        </row>
        <row r="75">
          <cell r="T75">
            <v>865899046.16999996</v>
          </cell>
        </row>
        <row r="77">
          <cell r="T77">
            <v>823055660</v>
          </cell>
        </row>
        <row r="78">
          <cell r="T78">
            <v>732418900</v>
          </cell>
        </row>
        <row r="80">
          <cell r="T80">
            <v>2030032098</v>
          </cell>
        </row>
        <row r="81">
          <cell r="T81">
            <v>690492943</v>
          </cell>
        </row>
        <row r="82">
          <cell r="T82">
            <v>551168880</v>
          </cell>
        </row>
        <row r="109">
          <cell r="T109">
            <v>22512809947</v>
          </cell>
        </row>
        <row r="112">
          <cell r="T112">
            <v>83133389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_EPG034_EjecucionPresupuesta"/>
    </sheetNames>
    <sheetDataSet>
      <sheetData sheetId="0">
        <row r="53">
          <cell r="R53">
            <v>8481666.0999999996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_EPG034_EjecucionPresupuesta"/>
    </sheetNames>
    <sheetDataSet>
      <sheetData sheetId="0">
        <row r="31">
          <cell r="T31">
            <v>22981390844</v>
          </cell>
        </row>
        <row r="33">
          <cell r="T33">
            <v>83133389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_EPG034_EjecucionPresupuesta"/>
    </sheetNames>
    <sheetDataSet>
      <sheetData sheetId="0">
        <row r="38">
          <cell r="T38">
            <v>479195804421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196"/>
  <sheetViews>
    <sheetView showGridLines="0" tabSelected="1" zoomScale="145" zoomScaleNormal="145" workbookViewId="0">
      <pane xSplit="9" ySplit="2" topLeftCell="M189" activePane="bottomRight" state="frozen"/>
      <selection pane="topRight" activeCell="J1" sqref="J1"/>
      <selection pane="bottomLeft" activeCell="A3" sqref="A3"/>
      <selection pane="bottomRight" activeCell="E207" sqref="E207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4" width="3.5703125" style="1" customWidth="1"/>
    <col min="5" max="5" width="4.1406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5703125" style="1" bestFit="1" customWidth="1"/>
    <col min="10" max="10" width="15.5703125" style="2" bestFit="1" customWidth="1"/>
    <col min="11" max="11" width="16" style="2" bestFit="1" customWidth="1"/>
    <col min="12" max="12" width="14.28515625" style="2" bestFit="1" customWidth="1"/>
    <col min="13" max="13" width="13.140625" style="2" customWidth="1"/>
    <col min="14" max="14" width="14.7109375" style="2" customWidth="1"/>
    <col min="15" max="15" width="14.140625" style="29" customWidth="1"/>
    <col min="16" max="16" width="14.85546875" style="2" customWidth="1"/>
    <col min="17" max="17" width="14.5703125" style="29" customWidth="1"/>
    <col min="18" max="18" width="7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33" t="s">
        <v>234</v>
      </c>
      <c r="B1" s="134"/>
      <c r="C1" s="134"/>
      <c r="D1" s="134"/>
      <c r="E1" s="134"/>
      <c r="F1" s="135"/>
      <c r="G1" s="87" t="s">
        <v>0</v>
      </c>
      <c r="H1" s="87" t="s">
        <v>1</v>
      </c>
      <c r="I1" s="87" t="s">
        <v>2</v>
      </c>
      <c r="J1" s="97" t="s">
        <v>144</v>
      </c>
      <c r="K1" s="97" t="s">
        <v>145</v>
      </c>
      <c r="L1" s="97" t="s">
        <v>146</v>
      </c>
      <c r="M1" s="87" t="s">
        <v>33</v>
      </c>
      <c r="N1" s="87" t="s">
        <v>230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3">
      <c r="A2" s="130" t="s">
        <v>87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2"/>
    </row>
    <row r="3" spans="1:20" s="6" customFormat="1" ht="17.25" customHeight="1" x14ac:dyDescent="0.25">
      <c r="A3" s="11" t="s">
        <v>3</v>
      </c>
      <c r="B3" s="71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306184300000</v>
      </c>
      <c r="K3" s="37">
        <f t="shared" ref="K3:L3" si="0">K4+K18+K26</f>
        <v>8153500000</v>
      </c>
      <c r="L3" s="103">
        <f t="shared" si="0"/>
        <v>2712017083</v>
      </c>
      <c r="M3" s="103">
        <f>M4+M18+M26</f>
        <v>311625782917</v>
      </c>
      <c r="N3" s="37">
        <f>N4+N18+N26</f>
        <v>0</v>
      </c>
      <c r="O3" s="37">
        <f>O4+O18+O26</f>
        <v>311622239113</v>
      </c>
      <c r="P3" s="103">
        <f>P4+P18+P26</f>
        <v>3543804</v>
      </c>
      <c r="Q3" s="37">
        <f>Q4+Q18+Q26</f>
        <v>311622239113</v>
      </c>
      <c r="R3" s="38">
        <f>IF(Q3&gt;1,Q3/(M3),0)</f>
        <v>0.99998862801413024</v>
      </c>
      <c r="S3" s="37">
        <f>S4+S18+S26</f>
        <v>311622239113</v>
      </c>
      <c r="T3" s="39">
        <f>T4+T18+T26</f>
        <v>302628595663</v>
      </c>
    </row>
    <row r="4" spans="1:20" s="6" customFormat="1" ht="16.5" customHeight="1" x14ac:dyDescent="0.25">
      <c r="A4" s="11" t="s">
        <v>3</v>
      </c>
      <c r="B4" s="71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205807200000</v>
      </c>
      <c r="K4" s="24">
        <f t="shared" ref="K4" si="1">SUM(K5:K17)</f>
        <v>4632500000</v>
      </c>
      <c r="L4" s="24">
        <f t="shared" ref="L4:Q4" si="2">SUM(L5:L17)</f>
        <v>2254022780</v>
      </c>
      <c r="M4" s="24">
        <f t="shared" si="2"/>
        <v>208185677220</v>
      </c>
      <c r="N4" s="24">
        <f t="shared" si="2"/>
        <v>0</v>
      </c>
      <c r="O4" s="24">
        <f t="shared" si="2"/>
        <v>208182133416</v>
      </c>
      <c r="P4" s="24">
        <f t="shared" si="2"/>
        <v>3543804</v>
      </c>
      <c r="Q4" s="24">
        <f t="shared" si="2"/>
        <v>208182133416</v>
      </c>
      <c r="R4" s="96">
        <f t="shared" ref="R4:R34" si="3">IF(Q4&gt;1,Q4/(M4),0)</f>
        <v>0.99998297767623923</v>
      </c>
      <c r="S4" s="14">
        <f>SUM(S5:S17)</f>
        <v>208182133416</v>
      </c>
      <c r="T4" s="33">
        <f>SUM(T5:T17)</f>
        <v>208182133416</v>
      </c>
    </row>
    <row r="5" spans="1:20" s="6" customFormat="1" ht="15" customHeight="1" x14ac:dyDescent="0.25">
      <c r="A5" s="7" t="s">
        <v>3</v>
      </c>
      <c r="B5" s="65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148735206872</v>
      </c>
      <c r="K5" s="9">
        <v>2175731926</v>
      </c>
      <c r="L5" s="27">
        <v>1275755982</v>
      </c>
      <c r="M5" s="27">
        <f>J5+K5-L5</f>
        <v>149635182816</v>
      </c>
      <c r="N5" s="9">
        <v>0</v>
      </c>
      <c r="O5" s="9">
        <v>149631639012</v>
      </c>
      <c r="P5" s="27">
        <f t="shared" ref="P5:P17" si="4">+M5-O5-N5</f>
        <v>3543804</v>
      </c>
      <c r="Q5" s="9">
        <v>149631639012</v>
      </c>
      <c r="R5" s="25">
        <f t="shared" si="3"/>
        <v>0.99997631704032897</v>
      </c>
      <c r="S5" s="9">
        <v>149631639012</v>
      </c>
      <c r="T5" s="10">
        <v>149631639012</v>
      </c>
    </row>
    <row r="6" spans="1:20" s="6" customFormat="1" ht="15" customHeight="1" x14ac:dyDescent="0.25">
      <c r="A6" s="7" t="s">
        <v>3</v>
      </c>
      <c r="B6" s="65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2997314519</v>
      </c>
      <c r="K6" s="9"/>
      <c r="L6" s="27">
        <v>54168137</v>
      </c>
      <c r="M6" s="27">
        <f t="shared" ref="M6:M17" si="5">J6+K6-L6</f>
        <v>2943146382</v>
      </c>
      <c r="N6" s="9">
        <v>0</v>
      </c>
      <c r="O6" s="9">
        <v>2943146382</v>
      </c>
      <c r="P6" s="27">
        <f t="shared" si="4"/>
        <v>0</v>
      </c>
      <c r="Q6" s="9">
        <v>2943146382</v>
      </c>
      <c r="R6" s="25">
        <f t="shared" si="3"/>
        <v>1</v>
      </c>
      <c r="S6" s="9">
        <v>2943146382</v>
      </c>
      <c r="T6" s="10">
        <v>2943146382</v>
      </c>
    </row>
    <row r="7" spans="1:20" s="6" customFormat="1" ht="16.5" customHeight="1" x14ac:dyDescent="0.25">
      <c r="A7" s="7" t="s">
        <v>3</v>
      </c>
      <c r="B7" s="65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1494255110</v>
      </c>
      <c r="K7" s="9">
        <v>47640602</v>
      </c>
      <c r="L7" s="27">
        <v>5165727</v>
      </c>
      <c r="M7" s="27">
        <f t="shared" si="5"/>
        <v>1536729985</v>
      </c>
      <c r="N7" s="9">
        <v>0</v>
      </c>
      <c r="O7" s="9">
        <v>1536729985</v>
      </c>
      <c r="P7" s="27">
        <f t="shared" si="4"/>
        <v>0</v>
      </c>
      <c r="Q7" s="9">
        <v>1536729985</v>
      </c>
      <c r="R7" s="25">
        <f t="shared" si="3"/>
        <v>1</v>
      </c>
      <c r="S7" s="9">
        <v>1536729985</v>
      </c>
      <c r="T7" s="10">
        <v>1536729985</v>
      </c>
    </row>
    <row r="8" spans="1:20" s="6" customFormat="1" ht="15" customHeight="1" x14ac:dyDescent="0.25">
      <c r="A8" s="7" t="s">
        <v>3</v>
      </c>
      <c r="B8" s="65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298763820</v>
      </c>
      <c r="K8" s="9"/>
      <c r="L8" s="27">
        <v>16317305</v>
      </c>
      <c r="M8" s="27">
        <f t="shared" si="5"/>
        <v>282446515</v>
      </c>
      <c r="N8" s="9">
        <v>0</v>
      </c>
      <c r="O8" s="9">
        <v>282446515</v>
      </c>
      <c r="P8" s="27">
        <f t="shared" si="4"/>
        <v>0</v>
      </c>
      <c r="Q8" s="9">
        <v>282446515</v>
      </c>
      <c r="R8" s="25">
        <f t="shared" si="3"/>
        <v>1</v>
      </c>
      <c r="S8" s="9">
        <v>282446515</v>
      </c>
      <c r="T8" s="10">
        <v>282446515</v>
      </c>
    </row>
    <row r="9" spans="1:20" s="6" customFormat="1" ht="15" customHeight="1" x14ac:dyDescent="0.25">
      <c r="A9" s="7" t="s">
        <v>3</v>
      </c>
      <c r="B9" s="65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483862140</v>
      </c>
      <c r="K9" s="9">
        <v>87862899</v>
      </c>
      <c r="L9" s="27">
        <v>6071725</v>
      </c>
      <c r="M9" s="27">
        <f t="shared" si="5"/>
        <v>565653314</v>
      </c>
      <c r="N9" s="9">
        <v>0</v>
      </c>
      <c r="O9" s="9">
        <v>565653314</v>
      </c>
      <c r="P9" s="27">
        <f t="shared" si="4"/>
        <v>0</v>
      </c>
      <c r="Q9" s="9">
        <v>565653314</v>
      </c>
      <c r="R9" s="25">
        <f t="shared" si="3"/>
        <v>1</v>
      </c>
      <c r="S9" s="9">
        <v>565653314</v>
      </c>
      <c r="T9" s="10">
        <v>565653314</v>
      </c>
    </row>
    <row r="10" spans="1:20" s="6" customFormat="1" ht="15" customHeight="1" x14ac:dyDescent="0.25">
      <c r="A10" s="7" t="s">
        <v>3</v>
      </c>
      <c r="B10" s="65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6968238074</v>
      </c>
      <c r="K10" s="9">
        <v>500000000</v>
      </c>
      <c r="L10" s="27">
        <v>241082107</v>
      </c>
      <c r="M10" s="27">
        <f t="shared" si="5"/>
        <v>7227155967</v>
      </c>
      <c r="N10" s="9">
        <v>0</v>
      </c>
      <c r="O10" s="9">
        <v>7227155967</v>
      </c>
      <c r="P10" s="27">
        <f t="shared" si="4"/>
        <v>0</v>
      </c>
      <c r="Q10" s="9">
        <v>7227155967</v>
      </c>
      <c r="R10" s="25">
        <f t="shared" si="3"/>
        <v>1</v>
      </c>
      <c r="S10" s="9">
        <v>7227155967</v>
      </c>
      <c r="T10" s="10">
        <v>7227155967</v>
      </c>
    </row>
    <row r="11" spans="1:20" s="6" customFormat="1" ht="16.5" customHeight="1" x14ac:dyDescent="0.25">
      <c r="A11" s="7" t="s">
        <v>3</v>
      </c>
      <c r="B11" s="65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4907450047</v>
      </c>
      <c r="K11" s="9">
        <f>192110476+24000000</f>
        <v>216110476</v>
      </c>
      <c r="L11" s="27">
        <v>301665</v>
      </c>
      <c r="M11" s="27">
        <f t="shared" si="5"/>
        <v>5123258858</v>
      </c>
      <c r="N11" s="9">
        <v>0</v>
      </c>
      <c r="O11" s="9">
        <v>5123258858</v>
      </c>
      <c r="P11" s="27">
        <f t="shared" si="4"/>
        <v>0</v>
      </c>
      <c r="Q11" s="9">
        <v>5123258858</v>
      </c>
      <c r="R11" s="25">
        <f t="shared" si="3"/>
        <v>1</v>
      </c>
      <c r="S11" s="9">
        <v>5123258858</v>
      </c>
      <c r="T11" s="10">
        <v>5123258858</v>
      </c>
    </row>
    <row r="12" spans="1:20" s="6" customFormat="1" ht="16.5" customHeight="1" x14ac:dyDescent="0.25">
      <c r="A12" s="7" t="s">
        <v>3</v>
      </c>
      <c r="B12" s="65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1224827603</v>
      </c>
      <c r="K12" s="9">
        <f>155255937+9500000</f>
        <v>164755937</v>
      </c>
      <c r="L12" s="27">
        <v>208109</v>
      </c>
      <c r="M12" s="27">
        <f t="shared" si="5"/>
        <v>1389375431</v>
      </c>
      <c r="N12" s="9">
        <v>0</v>
      </c>
      <c r="O12" s="9">
        <v>1389375431</v>
      </c>
      <c r="P12" s="27">
        <f t="shared" si="4"/>
        <v>0</v>
      </c>
      <c r="Q12" s="9">
        <v>1389375431</v>
      </c>
      <c r="R12" s="25">
        <f t="shared" si="3"/>
        <v>1</v>
      </c>
      <c r="S12" s="9">
        <v>1389375431</v>
      </c>
      <c r="T12" s="10">
        <v>1389375431</v>
      </c>
    </row>
    <row r="13" spans="1:20" s="6" customFormat="1" ht="16.5" customHeight="1" x14ac:dyDescent="0.25">
      <c r="A13" s="7" t="s">
        <v>3</v>
      </c>
      <c r="B13" s="65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16735066390</v>
      </c>
      <c r="K13" s="9">
        <v>798089037</v>
      </c>
      <c r="L13" s="27">
        <v>645564206</v>
      </c>
      <c r="M13" s="27">
        <f t="shared" si="5"/>
        <v>16887591221</v>
      </c>
      <c r="N13" s="9">
        <v>0</v>
      </c>
      <c r="O13" s="9">
        <v>16887591221</v>
      </c>
      <c r="P13" s="27">
        <f t="shared" si="4"/>
        <v>0</v>
      </c>
      <c r="Q13" s="9">
        <v>16887591221</v>
      </c>
      <c r="R13" s="25">
        <f t="shared" si="3"/>
        <v>1</v>
      </c>
      <c r="S13" s="9">
        <v>16887591221</v>
      </c>
      <c r="T13" s="10">
        <v>16887591221</v>
      </c>
    </row>
    <row r="14" spans="1:20" s="6" customFormat="1" ht="16.5" customHeight="1" x14ac:dyDescent="0.25">
      <c r="A14" s="7" t="s">
        <v>3</v>
      </c>
      <c r="B14" s="65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7969669494</v>
      </c>
      <c r="K14" s="9">
        <v>382309123</v>
      </c>
      <c r="L14" s="27">
        <v>2523180</v>
      </c>
      <c r="M14" s="27">
        <f t="shared" si="5"/>
        <v>8349455437</v>
      </c>
      <c r="N14" s="9">
        <v>0</v>
      </c>
      <c r="O14" s="9">
        <v>8349455437</v>
      </c>
      <c r="P14" s="27">
        <f t="shared" si="4"/>
        <v>0</v>
      </c>
      <c r="Q14" s="9">
        <v>8349455437</v>
      </c>
      <c r="R14" s="25">
        <f t="shared" si="3"/>
        <v>1</v>
      </c>
      <c r="S14" s="9">
        <v>8349455437</v>
      </c>
      <c r="T14" s="51">
        <v>8349455437</v>
      </c>
    </row>
    <row r="15" spans="1:20" s="6" customFormat="1" ht="16.5" customHeight="1" x14ac:dyDescent="0.25">
      <c r="A15" s="7" t="s">
        <v>3</v>
      </c>
      <c r="B15" s="65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39955574</v>
      </c>
      <c r="K15" s="9"/>
      <c r="L15" s="27">
        <v>1744941</v>
      </c>
      <c r="M15" s="27">
        <f t="shared" si="5"/>
        <v>38210633</v>
      </c>
      <c r="N15" s="9">
        <v>0</v>
      </c>
      <c r="O15" s="9">
        <v>38210633</v>
      </c>
      <c r="P15" s="27">
        <f t="shared" si="4"/>
        <v>0</v>
      </c>
      <c r="Q15" s="9">
        <v>38210633</v>
      </c>
      <c r="R15" s="25">
        <f t="shared" si="3"/>
        <v>1</v>
      </c>
      <c r="S15" s="9">
        <v>38210633</v>
      </c>
      <c r="T15" s="51">
        <v>38210633</v>
      </c>
    </row>
    <row r="16" spans="1:20" s="6" customFormat="1" ht="16.5" customHeight="1" x14ac:dyDescent="0.25">
      <c r="A16" s="7" t="s">
        <v>3</v>
      </c>
      <c r="B16" s="65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19168549</v>
      </c>
      <c r="K16" s="9"/>
      <c r="L16" s="27">
        <v>2507401</v>
      </c>
      <c r="M16" s="27">
        <f t="shared" si="5"/>
        <v>16661148</v>
      </c>
      <c r="N16" s="27">
        <v>0</v>
      </c>
      <c r="O16" s="9">
        <v>16661148</v>
      </c>
      <c r="P16" s="27">
        <f t="shared" si="4"/>
        <v>0</v>
      </c>
      <c r="Q16" s="9">
        <v>16661148</v>
      </c>
      <c r="R16" s="25">
        <f t="shared" si="3"/>
        <v>1</v>
      </c>
      <c r="S16" s="9">
        <v>16661148</v>
      </c>
      <c r="T16" s="51">
        <v>16661148</v>
      </c>
    </row>
    <row r="17" spans="1:21" s="6" customFormat="1" ht="16.5" customHeight="1" x14ac:dyDescent="0.25">
      <c r="A17" s="7" t="s">
        <v>3</v>
      </c>
      <c r="B17" s="65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13933421808</v>
      </c>
      <c r="K17" s="9">
        <f>260000000</f>
        <v>260000000</v>
      </c>
      <c r="L17" s="27">
        <v>2612295</v>
      </c>
      <c r="M17" s="27">
        <f t="shared" si="5"/>
        <v>14190809513</v>
      </c>
      <c r="N17" s="9">
        <v>0</v>
      </c>
      <c r="O17" s="9">
        <v>14190809513</v>
      </c>
      <c r="P17" s="27">
        <f t="shared" si="4"/>
        <v>0</v>
      </c>
      <c r="Q17" s="9">
        <v>14190809513</v>
      </c>
      <c r="R17" s="25">
        <f t="shared" si="3"/>
        <v>1</v>
      </c>
      <c r="S17" s="27">
        <v>14190809513</v>
      </c>
      <c r="T17" s="51">
        <v>14190809513</v>
      </c>
    </row>
    <row r="18" spans="1:21" s="47" customFormat="1" ht="16.5" customHeight="1" x14ac:dyDescent="0.25">
      <c r="A18" s="11" t="s">
        <v>3</v>
      </c>
      <c r="B18" s="71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118">
        <v>10</v>
      </c>
      <c r="J18" s="24">
        <f>SUM(J19:J25)</f>
        <v>84833100000</v>
      </c>
      <c r="K18" s="24">
        <f t="shared" ref="K18:L18" si="6">SUM(K19:K25)</f>
        <v>2039000000</v>
      </c>
      <c r="L18" s="24">
        <f t="shared" si="6"/>
        <v>237759974</v>
      </c>
      <c r="M18" s="24">
        <f>SUM(M19:M25)</f>
        <v>86634340026</v>
      </c>
      <c r="N18" s="14">
        <f>SUM(N19:N32)</f>
        <v>0</v>
      </c>
      <c r="O18" s="14">
        <f>SUM(O19:O25)</f>
        <v>86634340026</v>
      </c>
      <c r="P18" s="24">
        <f>SUM(P19:P25)</f>
        <v>0</v>
      </c>
      <c r="Q18" s="14">
        <f>SUM(Q19:Q25)</f>
        <v>86634340026</v>
      </c>
      <c r="R18" s="26">
        <f t="shared" si="3"/>
        <v>1</v>
      </c>
      <c r="S18" s="14">
        <f>SUM(S19:S25)</f>
        <v>86634340026</v>
      </c>
      <c r="T18" s="22">
        <f>SUM(T19:T25)</f>
        <v>77640696576</v>
      </c>
      <c r="U18" s="106"/>
    </row>
    <row r="19" spans="1:21" s="6" customFormat="1" ht="16.5" customHeight="1" x14ac:dyDescent="0.25">
      <c r="A19" s="7" t="s">
        <v>3</v>
      </c>
      <c r="B19" s="65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207</v>
      </c>
      <c r="H19" s="7" t="s">
        <v>5</v>
      </c>
      <c r="I19" s="8">
        <v>10</v>
      </c>
      <c r="J19" s="9">
        <v>22589800245</v>
      </c>
      <c r="K19" s="9">
        <v>734057355</v>
      </c>
      <c r="L19" s="27">
        <v>34518300</v>
      </c>
      <c r="M19" s="27">
        <f>J19+K19-L19</f>
        <v>23289339300</v>
      </c>
      <c r="N19" s="27">
        <v>0</v>
      </c>
      <c r="O19" s="9">
        <v>23289339300</v>
      </c>
      <c r="P19" s="27">
        <f t="shared" ref="P19:P32" si="7">+M19-O19-N19</f>
        <v>0</v>
      </c>
      <c r="Q19" s="9">
        <v>23289339300</v>
      </c>
      <c r="R19" s="25">
        <f t="shared" si="3"/>
        <v>1</v>
      </c>
      <c r="S19" s="9">
        <v>23289339300</v>
      </c>
      <c r="T19" s="51">
        <v>23289339300</v>
      </c>
    </row>
    <row r="20" spans="1:21" s="6" customFormat="1" ht="16.5" customHeight="1" x14ac:dyDescent="0.25">
      <c r="A20" s="7" t="s">
        <v>3</v>
      </c>
      <c r="B20" s="65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208</v>
      </c>
      <c r="H20" s="7" t="s">
        <v>5</v>
      </c>
      <c r="I20" s="8">
        <v>10</v>
      </c>
      <c r="J20" s="9">
        <v>15845229516</v>
      </c>
      <c r="K20" s="9">
        <v>566093277</v>
      </c>
      <c r="L20" s="27">
        <v>28224793</v>
      </c>
      <c r="M20" s="27">
        <f t="shared" ref="M20:M24" si="8">J20+K20-L20</f>
        <v>16383098000</v>
      </c>
      <c r="N20" s="9">
        <v>0</v>
      </c>
      <c r="O20" s="9">
        <v>16383098000</v>
      </c>
      <c r="P20" s="27">
        <f t="shared" si="7"/>
        <v>0</v>
      </c>
      <c r="Q20" s="9">
        <v>16383098000</v>
      </c>
      <c r="R20" s="25">
        <f t="shared" si="3"/>
        <v>1</v>
      </c>
      <c r="S20" s="9">
        <v>16383098000</v>
      </c>
      <c r="T20" s="51">
        <v>16383098000</v>
      </c>
    </row>
    <row r="21" spans="1:21" s="6" customFormat="1" ht="16.5" customHeight="1" x14ac:dyDescent="0.25">
      <c r="A21" s="7" t="s">
        <v>3</v>
      </c>
      <c r="B21" s="65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106</v>
      </c>
      <c r="H21" s="7" t="s">
        <v>5</v>
      </c>
      <c r="I21" s="8">
        <v>10</v>
      </c>
      <c r="J21" s="9">
        <v>19536078247</v>
      </c>
      <c r="K21" s="9">
        <v>26417631</v>
      </c>
      <c r="L21" s="27">
        <v>57101252</v>
      </c>
      <c r="M21" s="27">
        <f t="shared" si="8"/>
        <v>19505394626</v>
      </c>
      <c r="N21" s="9">
        <v>0</v>
      </c>
      <c r="O21" s="9">
        <v>19505394626</v>
      </c>
      <c r="P21" s="27">
        <f t="shared" si="7"/>
        <v>0</v>
      </c>
      <c r="Q21" s="9">
        <v>19505394626</v>
      </c>
      <c r="R21" s="25">
        <f t="shared" si="3"/>
        <v>1</v>
      </c>
      <c r="S21" s="9">
        <v>19505394626</v>
      </c>
      <c r="T21" s="51">
        <v>10511751176</v>
      </c>
    </row>
    <row r="22" spans="1:21" s="6" customFormat="1" ht="16.5" customHeight="1" x14ac:dyDescent="0.25">
      <c r="A22" s="7" t="s">
        <v>3</v>
      </c>
      <c r="B22" s="65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209</v>
      </c>
      <c r="H22" s="7" t="s">
        <v>5</v>
      </c>
      <c r="I22" s="8">
        <v>10</v>
      </c>
      <c r="J22" s="9">
        <v>8155531002</v>
      </c>
      <c r="K22" s="9">
        <v>235522065</v>
      </c>
      <c r="L22" s="27">
        <v>11206467</v>
      </c>
      <c r="M22" s="27">
        <f t="shared" si="8"/>
        <v>8379846600</v>
      </c>
      <c r="N22" s="9">
        <v>0</v>
      </c>
      <c r="O22" s="9">
        <v>8379846600</v>
      </c>
      <c r="P22" s="27">
        <f t="shared" si="7"/>
        <v>0</v>
      </c>
      <c r="Q22" s="9">
        <v>8379846600</v>
      </c>
      <c r="R22" s="25">
        <f t="shared" si="3"/>
        <v>1</v>
      </c>
      <c r="S22" s="9">
        <v>8379846600</v>
      </c>
      <c r="T22" s="51">
        <v>8379846600</v>
      </c>
    </row>
    <row r="23" spans="1:21" s="6" customFormat="1" ht="16.5" customHeight="1" x14ac:dyDescent="0.25">
      <c r="A23" s="7" t="s">
        <v>3</v>
      </c>
      <c r="B23" s="65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8571239642</v>
      </c>
      <c r="K23" s="9">
        <f>89621678+30000000</f>
        <v>119621678</v>
      </c>
      <c r="L23" s="27">
        <v>90002620</v>
      </c>
      <c r="M23" s="27">
        <f t="shared" si="8"/>
        <v>8600858700</v>
      </c>
      <c r="N23" s="9">
        <v>0</v>
      </c>
      <c r="O23" s="9">
        <v>8600858700</v>
      </c>
      <c r="P23" s="27">
        <f t="shared" si="7"/>
        <v>0</v>
      </c>
      <c r="Q23" s="9">
        <v>8600858700</v>
      </c>
      <c r="R23" s="25">
        <f t="shared" si="3"/>
        <v>1</v>
      </c>
      <c r="S23" s="9">
        <v>8600858700</v>
      </c>
      <c r="T23" s="51">
        <v>8600858700</v>
      </c>
    </row>
    <row r="24" spans="1:21" s="6" customFormat="1" ht="16.5" customHeight="1" x14ac:dyDescent="0.25">
      <c r="A24" s="7" t="s">
        <v>3</v>
      </c>
      <c r="B24" s="65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6106541634</v>
      </c>
      <c r="K24" s="9">
        <v>188514070</v>
      </c>
      <c r="L24" s="27">
        <v>9928704</v>
      </c>
      <c r="M24" s="27">
        <f t="shared" si="8"/>
        <v>6285127000</v>
      </c>
      <c r="N24" s="9">
        <v>0</v>
      </c>
      <c r="O24" s="9">
        <v>6285127000</v>
      </c>
      <c r="P24" s="27">
        <f t="shared" si="7"/>
        <v>0</v>
      </c>
      <c r="Q24" s="9">
        <v>6285127000</v>
      </c>
      <c r="R24" s="25">
        <f t="shared" si="3"/>
        <v>1</v>
      </c>
      <c r="S24" s="9">
        <v>6285127000</v>
      </c>
      <c r="T24" s="51">
        <v>6285127000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4028679714</v>
      </c>
      <c r="K25" s="9">
        <v>168773924</v>
      </c>
      <c r="L25" s="27">
        <v>6777838</v>
      </c>
      <c r="M25" s="27">
        <f>J25+K25-L25</f>
        <v>4190675800</v>
      </c>
      <c r="N25" s="9">
        <v>0</v>
      </c>
      <c r="O25" s="9">
        <v>4190675800</v>
      </c>
      <c r="P25" s="27">
        <f t="shared" si="7"/>
        <v>0</v>
      </c>
      <c r="Q25" s="9">
        <v>4190675800</v>
      </c>
      <c r="R25" s="25">
        <f t="shared" si="3"/>
        <v>1</v>
      </c>
      <c r="S25" s="9">
        <v>4190675800</v>
      </c>
      <c r="T25" s="51">
        <v>4190675800</v>
      </c>
    </row>
    <row r="26" spans="1:21" s="47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15544000000</v>
      </c>
      <c r="K26" s="24">
        <f t="shared" ref="K26:L26" si="9">K27+K28+K29+K30+K31+K32</f>
        <v>1482000000</v>
      </c>
      <c r="L26" s="24">
        <f t="shared" si="9"/>
        <v>220234329</v>
      </c>
      <c r="M26" s="24">
        <f>M27+M28+M29+M30+M31+M32</f>
        <v>16805765671</v>
      </c>
      <c r="N26" s="14">
        <v>0</v>
      </c>
      <c r="O26" s="14">
        <f>O27+O28+O29+O30+O31+O32</f>
        <v>16805765671</v>
      </c>
      <c r="P26" s="24">
        <f>P27+P28+P29+P30+P31+P32</f>
        <v>0</v>
      </c>
      <c r="Q26" s="14">
        <f>Q27+Q28+Q29+Q30+Q31+Q32</f>
        <v>16805765671</v>
      </c>
      <c r="R26" s="26">
        <f t="shared" si="3"/>
        <v>1</v>
      </c>
      <c r="S26" s="24">
        <f>S27+S28+S29+S30+S31+S32</f>
        <v>16805765671</v>
      </c>
      <c r="T26" s="22">
        <f>T27+T28+T29+T30+T31+T32</f>
        <v>16805765671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137</v>
      </c>
      <c r="H27" s="7" t="s">
        <v>5</v>
      </c>
      <c r="I27" s="8" t="s">
        <v>6</v>
      </c>
      <c r="J27" s="9">
        <v>12109049805</v>
      </c>
      <c r="K27" s="9">
        <f>1183355865+45000000</f>
        <v>1228355865</v>
      </c>
      <c r="L27" s="27">
        <v>349977</v>
      </c>
      <c r="M27" s="27">
        <f>J27+K27-L27</f>
        <v>13337055693</v>
      </c>
      <c r="N27" s="9">
        <v>0</v>
      </c>
      <c r="O27" s="9">
        <v>13337055693</v>
      </c>
      <c r="P27" s="27">
        <f t="shared" si="7"/>
        <v>0</v>
      </c>
      <c r="Q27" s="9">
        <v>13337055693</v>
      </c>
      <c r="R27" s="25">
        <f t="shared" si="3"/>
        <v>1</v>
      </c>
      <c r="S27" s="9">
        <v>13337055693</v>
      </c>
      <c r="T27" s="51">
        <v>13337055693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5" t="s">
        <v>37</v>
      </c>
      <c r="G28" s="23" t="s">
        <v>62</v>
      </c>
      <c r="H28" s="7" t="s">
        <v>5</v>
      </c>
      <c r="I28" s="8" t="s">
        <v>6</v>
      </c>
      <c r="J28" s="9">
        <v>458862190</v>
      </c>
      <c r="K28" s="9">
        <v>118644135</v>
      </c>
      <c r="L28" s="27">
        <v>20798843</v>
      </c>
      <c r="M28" s="27">
        <f t="shared" ref="M28:M32" si="10">J28+K28-L28</f>
        <v>556707482</v>
      </c>
      <c r="N28" s="9">
        <v>0</v>
      </c>
      <c r="O28" s="9">
        <v>556707482</v>
      </c>
      <c r="P28" s="27">
        <f t="shared" si="7"/>
        <v>0</v>
      </c>
      <c r="Q28" s="9">
        <v>556707482</v>
      </c>
      <c r="R28" s="25">
        <f t="shared" si="3"/>
        <v>1</v>
      </c>
      <c r="S28" s="9">
        <v>556707482</v>
      </c>
      <c r="T28" s="51">
        <v>556707482</v>
      </c>
    </row>
    <row r="29" spans="1:21" s="6" customFormat="1" ht="16.5" customHeight="1" x14ac:dyDescent="0.25">
      <c r="A29" s="7" t="s">
        <v>3</v>
      </c>
      <c r="B29" s="65" t="s">
        <v>34</v>
      </c>
      <c r="C29" s="7" t="s">
        <v>34</v>
      </c>
      <c r="D29" s="7" t="s">
        <v>51</v>
      </c>
      <c r="E29" s="7" t="s">
        <v>35</v>
      </c>
      <c r="F29" s="65" t="s">
        <v>39</v>
      </c>
      <c r="G29" s="23" t="s">
        <v>63</v>
      </c>
      <c r="H29" s="7" t="s">
        <v>5</v>
      </c>
      <c r="I29" s="8" t="s">
        <v>6</v>
      </c>
      <c r="J29" s="9">
        <v>819318216</v>
      </c>
      <c r="K29" s="9">
        <f>135000000</f>
        <v>135000000</v>
      </c>
      <c r="L29" s="27">
        <v>285857</v>
      </c>
      <c r="M29" s="27">
        <f t="shared" si="10"/>
        <v>954032359</v>
      </c>
      <c r="N29" s="9">
        <v>0</v>
      </c>
      <c r="O29" s="9">
        <v>954032359</v>
      </c>
      <c r="P29" s="27">
        <f t="shared" si="7"/>
        <v>0</v>
      </c>
      <c r="Q29" s="9">
        <v>954032359</v>
      </c>
      <c r="R29" s="25">
        <f t="shared" si="3"/>
        <v>1</v>
      </c>
      <c r="S29" s="9">
        <v>954032359</v>
      </c>
      <c r="T29" s="51">
        <v>954032359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564704052</v>
      </c>
      <c r="K30" s="9"/>
      <c r="L30" s="27">
        <v>126023814</v>
      </c>
      <c r="M30" s="27">
        <f t="shared" si="10"/>
        <v>438680238</v>
      </c>
      <c r="N30" s="9">
        <v>0</v>
      </c>
      <c r="O30" s="9">
        <v>438680238</v>
      </c>
      <c r="P30" s="27">
        <f t="shared" si="7"/>
        <v>0</v>
      </c>
      <c r="Q30" s="9">
        <v>438680238</v>
      </c>
      <c r="R30" s="25">
        <f t="shared" si="3"/>
        <v>1</v>
      </c>
      <c r="S30" s="9">
        <v>438680238</v>
      </c>
      <c r="T30" s="51">
        <v>438680238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1496829460</v>
      </c>
      <c r="K31" s="9"/>
      <c r="L31" s="27">
        <v>64468508</v>
      </c>
      <c r="M31" s="27">
        <f t="shared" si="10"/>
        <v>1432360952</v>
      </c>
      <c r="N31" s="9">
        <v>0</v>
      </c>
      <c r="O31" s="9">
        <v>1432360952</v>
      </c>
      <c r="P31" s="27">
        <f t="shared" si="7"/>
        <v>0</v>
      </c>
      <c r="Q31" s="9">
        <v>1432360952</v>
      </c>
      <c r="R31" s="25">
        <f t="shared" si="3"/>
        <v>1</v>
      </c>
      <c r="S31" s="9">
        <v>1432360952</v>
      </c>
      <c r="T31" s="51">
        <v>1432360952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95236277</v>
      </c>
      <c r="K32" s="9"/>
      <c r="L32" s="27">
        <v>8307330</v>
      </c>
      <c r="M32" s="27">
        <f t="shared" si="10"/>
        <v>86928947</v>
      </c>
      <c r="N32" s="9">
        <v>0</v>
      </c>
      <c r="O32" s="9">
        <v>86928947</v>
      </c>
      <c r="P32" s="27">
        <f t="shared" si="7"/>
        <v>0</v>
      </c>
      <c r="Q32" s="9">
        <v>86928947</v>
      </c>
      <c r="R32" s="25">
        <f t="shared" si="3"/>
        <v>1</v>
      </c>
      <c r="S32" s="9">
        <v>86928947</v>
      </c>
      <c r="T32" s="51">
        <v>86928947</v>
      </c>
    </row>
    <row r="33" spans="1:21" ht="16.5" customHeight="1" x14ac:dyDescent="0.25">
      <c r="A33" s="81" t="s">
        <v>3</v>
      </c>
      <c r="B33" s="81" t="s">
        <v>34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306184300000</v>
      </c>
      <c r="K33" s="64">
        <f t="shared" ref="K33:L33" si="11">K3</f>
        <v>8153500000</v>
      </c>
      <c r="L33" s="64">
        <f t="shared" si="11"/>
        <v>2712017083</v>
      </c>
      <c r="M33" s="64">
        <f>M3</f>
        <v>311625782917</v>
      </c>
      <c r="N33" s="64">
        <f>N3</f>
        <v>0</v>
      </c>
      <c r="O33" s="64">
        <f>O3</f>
        <v>311622239113</v>
      </c>
      <c r="P33" s="64">
        <f>P3</f>
        <v>3543804</v>
      </c>
      <c r="Q33" s="64">
        <f>Q3</f>
        <v>311622239113</v>
      </c>
      <c r="R33" s="76">
        <f t="shared" si="3"/>
        <v>0.99998862801413024</v>
      </c>
      <c r="S33" s="64">
        <f>S3</f>
        <v>311622239113</v>
      </c>
      <c r="T33" s="73">
        <f>T3</f>
        <v>302628595663</v>
      </c>
      <c r="U33" s="105"/>
    </row>
    <row r="34" spans="1:21" ht="15" customHeight="1" thickBot="1" x14ac:dyDescent="0.3">
      <c r="A34" s="142" t="s">
        <v>25</v>
      </c>
      <c r="B34" s="143"/>
      <c r="C34" s="143"/>
      <c r="D34" s="143"/>
      <c r="E34" s="143"/>
      <c r="F34" s="143"/>
      <c r="G34" s="143"/>
      <c r="H34" s="143"/>
      <c r="I34" s="144"/>
      <c r="J34" s="77">
        <f>J33</f>
        <v>306184300000</v>
      </c>
      <c r="K34" s="77">
        <f t="shared" ref="K34:L34" si="12">K33</f>
        <v>8153500000</v>
      </c>
      <c r="L34" s="77">
        <f t="shared" si="12"/>
        <v>2712017083</v>
      </c>
      <c r="M34" s="77">
        <f t="shared" ref="M34:T34" si="13">M33</f>
        <v>311625782917</v>
      </c>
      <c r="N34" s="77">
        <f t="shared" si="13"/>
        <v>0</v>
      </c>
      <c r="O34" s="77">
        <f t="shared" si="13"/>
        <v>311622239113</v>
      </c>
      <c r="P34" s="77">
        <f t="shared" si="13"/>
        <v>3543804</v>
      </c>
      <c r="Q34" s="77">
        <f t="shared" si="13"/>
        <v>311622239113</v>
      </c>
      <c r="R34" s="76">
        <f t="shared" si="3"/>
        <v>0.99998862801413024</v>
      </c>
      <c r="S34" s="77">
        <f t="shared" si="13"/>
        <v>311622239113</v>
      </c>
      <c r="T34" s="78">
        <f t="shared" si="13"/>
        <v>302628595663</v>
      </c>
    </row>
    <row r="35" spans="1:21" ht="15.75" customHeight="1" thickBot="1" x14ac:dyDescent="0.3">
      <c r="A35" s="136" t="s">
        <v>102</v>
      </c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8"/>
    </row>
    <row r="36" spans="1:21" ht="15.75" customHeight="1" x14ac:dyDescent="0.25">
      <c r="A36" s="90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8">
        <f>J37+J38+J39+J40+J41+J42+J43+J45</f>
        <v>229203673</v>
      </c>
      <c r="K36" s="48">
        <f>K37+K38+K39+K40+K41+K42+K43+K44+K45</f>
        <v>2234014623.3000002</v>
      </c>
      <c r="L36" s="48">
        <f t="shared" ref="L36:M36" si="14">L37+L38+L39+L40+L41+L42+L43+L44+L45</f>
        <v>498149610.30000001</v>
      </c>
      <c r="M36" s="48">
        <f t="shared" si="14"/>
        <v>1965068686</v>
      </c>
      <c r="N36" s="48">
        <f>N37+N38+N39+N40+N41+N42+N43+N44+N45</f>
        <v>0</v>
      </c>
      <c r="O36" s="48">
        <f>O37+O38+O39+O40+O41+O42+O43+O44+O45</f>
        <v>1956391543.0800002</v>
      </c>
      <c r="P36" s="48">
        <f t="shared" ref="P36" si="15">P37+P38+P39+P40+P41+P42+P43+P44+P45</f>
        <v>8677142.9199998975</v>
      </c>
      <c r="Q36" s="48">
        <f t="shared" ref="Q36" si="16">Q37+Q38+Q39+Q40+Q41+Q42+Q43+Q44+Q45</f>
        <v>1956391543.0800002</v>
      </c>
      <c r="R36" s="62">
        <f t="shared" ref="R36:R92" si="17">IF(Q36&gt;1,Q36/(M36),0)</f>
        <v>0.99558430553505861</v>
      </c>
      <c r="S36" s="48">
        <f t="shared" ref="S36" si="18">S37+S38+S39+S40+S41+S42+S43+S44+S45</f>
        <v>718288925.70000005</v>
      </c>
      <c r="T36" s="48">
        <f t="shared" ref="T36" si="19">T37+T38+T39+T40+T41+T42+T43+T44+T45</f>
        <v>718288925.70000005</v>
      </c>
    </row>
    <row r="37" spans="1:21" ht="15.75" customHeight="1" x14ac:dyDescent="0.25">
      <c r="A37" s="91" t="s">
        <v>3</v>
      </c>
      <c r="B37" s="7" t="s">
        <v>50</v>
      </c>
      <c r="C37" s="7" t="s">
        <v>34</v>
      </c>
      <c r="D37" s="7" t="s">
        <v>34</v>
      </c>
      <c r="E37" s="65" t="s">
        <v>39</v>
      </c>
      <c r="F37" s="65" t="s">
        <v>45</v>
      </c>
      <c r="G37" s="23" t="s">
        <v>139</v>
      </c>
      <c r="H37" s="7" t="s">
        <v>5</v>
      </c>
      <c r="I37" s="8">
        <v>10</v>
      </c>
      <c r="J37" s="44">
        <v>10344433</v>
      </c>
      <c r="K37" s="44">
        <f>102410000+4000000+1339328+60000000+7357233+64018336+47530854+63829564</f>
        <v>350485315</v>
      </c>
      <c r="L37" s="44">
        <f>6000000+24433336+11230000+8000000+127233+26074600+24486854</f>
        <v>100352023</v>
      </c>
      <c r="M37" s="44">
        <f>J37+K37-L37</f>
        <v>260477725</v>
      </c>
      <c r="N37" s="44"/>
      <c r="O37" s="44">
        <v>260126678</v>
      </c>
      <c r="P37" s="27">
        <f t="shared" ref="P37:P44" si="20">+M37-O37-N37</f>
        <v>351047</v>
      </c>
      <c r="Q37" s="27">
        <v>260126678</v>
      </c>
      <c r="R37" s="69">
        <f t="shared" si="17"/>
        <v>0.99865229550818602</v>
      </c>
      <c r="S37" s="44">
        <v>178465880</v>
      </c>
      <c r="T37" s="70">
        <v>178465880</v>
      </c>
    </row>
    <row r="38" spans="1:21" ht="15.75" customHeight="1" x14ac:dyDescent="0.25">
      <c r="A38" s="91" t="s">
        <v>3</v>
      </c>
      <c r="B38" s="89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107</v>
      </c>
      <c r="H38" s="7" t="s">
        <v>5</v>
      </c>
      <c r="I38" s="8">
        <v>10</v>
      </c>
      <c r="J38" s="44">
        <v>57600000</v>
      </c>
      <c r="K38" s="44">
        <f>800000+1769586+11923800+20921616+91313840+14723660+64000000+12240457+45663680+1071000+62346156</f>
        <v>326773795</v>
      </c>
      <c r="L38" s="44">
        <f>74586+30000+2740117+462041+23300000+4000000+384499+2640457+13000000+5000000+7000000+1259400</f>
        <v>59891100</v>
      </c>
      <c r="M38" s="44">
        <f>J38+K38-L38</f>
        <v>324482695</v>
      </c>
      <c r="N38" s="127">
        <f>M38-[1]REP_EPG034_EjecucionPresupuesta!$T$32</f>
        <v>0</v>
      </c>
      <c r="O38" s="44">
        <v>319971675.91000003</v>
      </c>
      <c r="P38" s="27">
        <f t="shared" si="20"/>
        <v>4511019.0899999738</v>
      </c>
      <c r="Q38" s="27">
        <v>319971675.91000003</v>
      </c>
      <c r="R38" s="69">
        <f t="shared" si="17"/>
        <v>0.98609781304362021</v>
      </c>
      <c r="S38" s="44">
        <v>35624759</v>
      </c>
      <c r="T38" s="70">
        <v>35624759</v>
      </c>
      <c r="U38" s="105"/>
    </row>
    <row r="39" spans="1:21" ht="15.75" customHeight="1" x14ac:dyDescent="0.25">
      <c r="A39" s="91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108</v>
      </c>
      <c r="H39" s="7" t="s">
        <v>5</v>
      </c>
      <c r="I39" s="8">
        <v>10</v>
      </c>
      <c r="J39" s="44">
        <v>25000000</v>
      </c>
      <c r="K39" s="44">
        <f>300000+154623+25977371+11699933+11561067+4498387+9470151+25762373+145901</f>
        <v>89569806</v>
      </c>
      <c r="L39" s="44">
        <f>3178584+800000+154623+11699933</f>
        <v>15833140</v>
      </c>
      <c r="M39" s="44">
        <f t="shared" ref="M39:M45" si="21">J39+K39-L39</f>
        <v>98736666</v>
      </c>
      <c r="N39" s="44"/>
      <c r="O39" s="44">
        <v>98736666</v>
      </c>
      <c r="P39" s="27">
        <f t="shared" si="20"/>
        <v>0</v>
      </c>
      <c r="Q39" s="27">
        <v>98736666</v>
      </c>
      <c r="R39" s="69">
        <f t="shared" si="17"/>
        <v>1</v>
      </c>
      <c r="S39" s="44">
        <v>22747685</v>
      </c>
      <c r="T39" s="70">
        <v>22747685</v>
      </c>
    </row>
    <row r="40" spans="1:21" ht="15.75" customHeight="1" x14ac:dyDescent="0.25">
      <c r="A40" s="91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5" t="s">
        <v>42</v>
      </c>
      <c r="G40" s="23" t="s">
        <v>120</v>
      </c>
      <c r="H40" s="7" t="s">
        <v>5</v>
      </c>
      <c r="I40" s="8">
        <v>10</v>
      </c>
      <c r="J40" s="44">
        <v>63000000</v>
      </c>
      <c r="K40" s="44">
        <f>412350191+320799958+35000000+59810000+6000000+7413058.3</f>
        <v>841373207.29999995</v>
      </c>
      <c r="L40" s="44">
        <f>195313018</f>
        <v>195313018</v>
      </c>
      <c r="M40" s="44">
        <f>J40+K40-L40</f>
        <v>709060189.29999995</v>
      </c>
      <c r="N40" s="113">
        <f>M40-[1]REP_EPG034_EjecucionPresupuesta!$T$34</f>
        <v>0</v>
      </c>
      <c r="O40" s="44">
        <v>709060188.47000003</v>
      </c>
      <c r="P40" s="27">
        <f>+M40-O40-N40</f>
        <v>0.82999992370605469</v>
      </c>
      <c r="Q40" s="27">
        <v>709060188.47000003</v>
      </c>
      <c r="R40" s="69">
        <f t="shared" si="17"/>
        <v>0.99999999882943658</v>
      </c>
      <c r="S40" s="44">
        <v>412350191</v>
      </c>
      <c r="T40" s="70">
        <v>412350191</v>
      </c>
    </row>
    <row r="41" spans="1:21" ht="15.75" customHeight="1" x14ac:dyDescent="0.25">
      <c r="A41" s="91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5" t="s">
        <v>43</v>
      </c>
      <c r="G41" s="23" t="s">
        <v>121</v>
      </c>
      <c r="H41" s="7" t="s">
        <v>5</v>
      </c>
      <c r="I41" s="8">
        <v>10</v>
      </c>
      <c r="J41" s="44">
        <v>35000000</v>
      </c>
      <c r="K41" s="44">
        <f>4000000+3419180+57762584+16000000+2958968</f>
        <v>84140732</v>
      </c>
      <c r="L41" s="44">
        <f>30000000+3419180+737800+17623884+107800+4000000+3999964.3</f>
        <v>59888628.299999997</v>
      </c>
      <c r="M41" s="44">
        <f t="shared" si="21"/>
        <v>59252103.700000003</v>
      </c>
      <c r="N41" s="44"/>
      <c r="O41" s="44">
        <v>59097703.700000003</v>
      </c>
      <c r="P41" s="27">
        <f>+M41-O41-N41</f>
        <v>154400</v>
      </c>
      <c r="Q41" s="27">
        <v>59097703.700000003</v>
      </c>
      <c r="R41" s="69">
        <f t="shared" si="17"/>
        <v>0.99739418534771784</v>
      </c>
      <c r="S41" s="44">
        <v>56138735.700000003</v>
      </c>
      <c r="T41" s="70">
        <v>56138735.700000003</v>
      </c>
    </row>
    <row r="42" spans="1:21" ht="15.75" customHeight="1" x14ac:dyDescent="0.25">
      <c r="A42" s="91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5" t="s">
        <v>44</v>
      </c>
      <c r="G42" s="23" t="s">
        <v>122</v>
      </c>
      <c r="H42" s="7" t="s">
        <v>5</v>
      </c>
      <c r="I42" s="8">
        <v>10</v>
      </c>
      <c r="J42" s="44">
        <v>18000000</v>
      </c>
      <c r="K42" s="44">
        <f>6600000</f>
        <v>6600000</v>
      </c>
      <c r="L42" s="44">
        <f>1339328+1038321+5000000+1053792</f>
        <v>8431441</v>
      </c>
      <c r="M42" s="44">
        <f t="shared" si="21"/>
        <v>16168559</v>
      </c>
      <c r="N42" s="44"/>
      <c r="O42" s="44">
        <v>12507883</v>
      </c>
      <c r="P42" s="27">
        <f t="shared" si="20"/>
        <v>3660676</v>
      </c>
      <c r="Q42" s="27">
        <v>12507883</v>
      </c>
      <c r="R42" s="69">
        <f t="shared" si="17"/>
        <v>0.7735929342868465</v>
      </c>
      <c r="S42" s="44">
        <v>6961675</v>
      </c>
      <c r="T42" s="70">
        <v>6961675</v>
      </c>
    </row>
    <row r="43" spans="1:21" ht="15.75" customHeight="1" x14ac:dyDescent="0.25">
      <c r="A43" s="91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5" t="s">
        <v>45</v>
      </c>
      <c r="G43" s="23" t="s">
        <v>140</v>
      </c>
      <c r="H43" s="7" t="s">
        <v>5</v>
      </c>
      <c r="I43" s="8">
        <v>10</v>
      </c>
      <c r="J43" s="44">
        <v>20259240</v>
      </c>
      <c r="K43" s="44">
        <f>56285000+6146510+2795572+14694140+2409680</f>
        <v>82330902</v>
      </c>
      <c r="L43" s="44">
        <f>12559711+22902460+4189050+4342404+1440289+6100000+2795572</f>
        <v>54329486</v>
      </c>
      <c r="M43" s="44">
        <f t="shared" si="21"/>
        <v>48260656</v>
      </c>
      <c r="N43" s="44"/>
      <c r="O43" s="44">
        <v>48260656</v>
      </c>
      <c r="P43" s="27">
        <f t="shared" si="20"/>
        <v>0</v>
      </c>
      <c r="Q43" s="27">
        <v>48260656</v>
      </c>
      <c r="R43" s="69">
        <f t="shared" si="17"/>
        <v>1</v>
      </c>
      <c r="S43" s="44">
        <v>6000000</v>
      </c>
      <c r="T43" s="44">
        <v>6000000</v>
      </c>
    </row>
    <row r="44" spans="1:21" ht="15.75" customHeight="1" x14ac:dyDescent="0.25">
      <c r="A44" s="91" t="s">
        <v>3</v>
      </c>
      <c r="B44" s="7" t="s">
        <v>50</v>
      </c>
      <c r="C44" s="7" t="s">
        <v>34</v>
      </c>
      <c r="D44" s="7" t="s">
        <v>34</v>
      </c>
      <c r="E44" s="7" t="s">
        <v>40</v>
      </c>
      <c r="F44" s="65" t="s">
        <v>46</v>
      </c>
      <c r="G44" s="23" t="s">
        <v>231</v>
      </c>
      <c r="H44" s="7" t="s">
        <v>5</v>
      </c>
      <c r="I44" s="8">
        <v>10</v>
      </c>
      <c r="J44" s="44">
        <v>0</v>
      </c>
      <c r="K44" s="44">
        <f>430000000+1999600+799840+5427120</f>
        <v>438226560</v>
      </c>
      <c r="L44" s="44">
        <f>399920+592314+3000000+118540</f>
        <v>4110774</v>
      </c>
      <c r="M44" s="44">
        <f t="shared" ref="M44" si="22">J44+K44-L44</f>
        <v>434115786</v>
      </c>
      <c r="N44" s="44"/>
      <c r="O44" s="44">
        <v>434115786</v>
      </c>
      <c r="P44" s="27">
        <f t="shared" si="20"/>
        <v>0</v>
      </c>
      <c r="Q44" s="27">
        <v>434115786</v>
      </c>
      <c r="R44" s="69">
        <f t="shared" ref="R44" si="23">IF(Q44&gt;1,Q44/(M44),0)</f>
        <v>1</v>
      </c>
      <c r="S44" s="44">
        <v>0</v>
      </c>
      <c r="T44" s="44">
        <v>0</v>
      </c>
    </row>
    <row r="45" spans="1:21" ht="15.75" customHeight="1" x14ac:dyDescent="0.25">
      <c r="A45" s="91" t="s">
        <v>3</v>
      </c>
      <c r="B45" s="7" t="s">
        <v>50</v>
      </c>
      <c r="C45" s="7" t="s">
        <v>34</v>
      </c>
      <c r="D45" s="7" t="s">
        <v>34</v>
      </c>
      <c r="E45" s="7" t="s">
        <v>40</v>
      </c>
      <c r="F45" s="65" t="s">
        <v>47</v>
      </c>
      <c r="G45" s="23" t="s">
        <v>236</v>
      </c>
      <c r="H45" s="7" t="s">
        <v>5</v>
      </c>
      <c r="I45" s="8">
        <v>10</v>
      </c>
      <c r="J45" s="44">
        <v>0</v>
      </c>
      <c r="K45" s="44">
        <f>14514306</f>
        <v>14514306</v>
      </c>
      <c r="L45" s="44"/>
      <c r="M45" s="44">
        <f t="shared" si="21"/>
        <v>14514306</v>
      </c>
      <c r="N45" s="44"/>
      <c r="O45" s="44">
        <v>14514306</v>
      </c>
      <c r="P45" s="27">
        <f t="shared" ref="P45" si="24">+M45-O45-N45</f>
        <v>0</v>
      </c>
      <c r="Q45" s="27">
        <v>14514306</v>
      </c>
      <c r="R45" s="69">
        <f t="shared" si="17"/>
        <v>1</v>
      </c>
      <c r="S45" s="44">
        <v>0</v>
      </c>
      <c r="T45" s="44">
        <v>0</v>
      </c>
    </row>
    <row r="46" spans="1:21" s="47" customFormat="1" ht="15" customHeight="1" x14ac:dyDescent="0.25">
      <c r="A46" s="90" t="s">
        <v>3</v>
      </c>
      <c r="B46" s="11" t="s">
        <v>50</v>
      </c>
      <c r="C46" s="11" t="s">
        <v>50</v>
      </c>
      <c r="D46" s="11"/>
      <c r="E46" s="11"/>
      <c r="F46" s="49"/>
      <c r="G46" s="12" t="s">
        <v>80</v>
      </c>
      <c r="H46" s="11" t="s">
        <v>5</v>
      </c>
      <c r="I46" s="13">
        <v>10</v>
      </c>
      <c r="J46" s="48">
        <f>J49+J50+J51+J52+J53+J54+J55+J56+J57+J58+J59+J60+J61+J62+J63+J66+J67+J69+J70+J71+J72+J73+J74+J77+J78+J79+J80+J81+J82+J83+J84+J85+J86+J88+J64+J65+J87</f>
        <v>49497396327</v>
      </c>
      <c r="K46" s="48">
        <f t="shared" ref="K46:Q46" si="25">K49+K50+K51+K52+K53+K54+K55+K56+K57+K58+K59+K60+K61+K62+K63+K64+K65+K66+K67+K69+K70+K71+K72+K73+K74+K77+K78+K79+K80+K81+K82+K83+K84+K85+K86+K88+K68</f>
        <v>14454591851.379999</v>
      </c>
      <c r="L46" s="48">
        <f>L49+L50+L51+L52+L53+L54+L55+L56+L57+L58+L59+L60+L61+L62+L63+L64+L65+L66+L67+L69+L70+L71+L72+L73+L74+L77+L78+L79+L80+L81+L82+L83+L84+L85+L86+L88+L68</f>
        <v>15663457127.379999</v>
      </c>
      <c r="M46" s="48">
        <f t="shared" si="25"/>
        <v>48288531051</v>
      </c>
      <c r="N46" s="48">
        <f>N49+N50+N51+N52+N53+N54+N55+N56+N57+N58+N59+N60+N61+N62+N63+N64+N65+N66+N67+N69+N70+N71+N72+N73+N74+N77+N78+N79+N80+N81+N82+N83+N84+N85+N86+N88+N68</f>
        <v>0</v>
      </c>
      <c r="O46" s="123">
        <f>O49+O50+O51+O52+O53+O54+O55+O56+O57+O58+O59+O60+O61+O62+O63+O64+O65+O66+O67+O69+O70+O71+O72+O73+O74+O77+O78+O79+O80+O81+O82+O83+O84+O85+O86+O88+O68</f>
        <v>46825099938.540001</v>
      </c>
      <c r="P46" s="48">
        <f t="shared" si="25"/>
        <v>1463431112.4599986</v>
      </c>
      <c r="Q46" s="48">
        <f t="shared" si="25"/>
        <v>46825099938.540001</v>
      </c>
      <c r="R46" s="62">
        <f>IF(Q46&gt;1,Q46/(M46),0)</f>
        <v>0.96969402297795315</v>
      </c>
      <c r="S46" s="24">
        <f>S49+S50+S51+S52+S53+S54+S55+S56+S57+S58+S59+S60+S61+S62+S63+S64+S65+S66+S67+S69+S70+S71+S72+S73+S74+S77+S78+S79+S80+S81+S82+S83+S84+S85+S86+S88+S68</f>
        <v>36464100649.300003</v>
      </c>
      <c r="T46" s="24">
        <f>T49+T50+T51+T52+T53+T54+T55+T56+T57+T58+T59+T60+T61+T62+T63+T64+T65+T66+T67+T69+T70+T71+T72+T73+T74+T77+T78+T79+T80+T81+T82+T83+T84+T85+T86+T88+T68</f>
        <v>36464100649.300003</v>
      </c>
    </row>
    <row r="47" spans="1:21" s="47" customFormat="1" ht="15" customHeight="1" x14ac:dyDescent="0.25">
      <c r="A47" s="90" t="s">
        <v>3</v>
      </c>
      <c r="B47" s="11" t="s">
        <v>50</v>
      </c>
      <c r="C47" s="11" t="s">
        <v>50</v>
      </c>
      <c r="D47" s="11"/>
      <c r="E47" s="11"/>
      <c r="F47" s="49"/>
      <c r="G47" s="12" t="s">
        <v>80</v>
      </c>
      <c r="H47" s="11" t="s">
        <v>8</v>
      </c>
      <c r="I47" s="13">
        <v>20</v>
      </c>
      <c r="J47" s="48">
        <f>J75+J87</f>
        <v>950000000</v>
      </c>
      <c r="K47" s="48">
        <f t="shared" ref="K47" si="26">K75+K87</f>
        <v>50000000</v>
      </c>
      <c r="L47" s="48">
        <f>L75+L87+L76</f>
        <v>50000000</v>
      </c>
      <c r="M47" s="48">
        <f>M75+M87</f>
        <v>950000000</v>
      </c>
      <c r="N47" s="48">
        <f t="shared" ref="N47:P47" si="27">N75+N87</f>
        <v>0</v>
      </c>
      <c r="O47" s="48">
        <f>O75+O87</f>
        <v>950000000</v>
      </c>
      <c r="P47" s="24">
        <f t="shared" si="27"/>
        <v>0</v>
      </c>
      <c r="Q47" s="24">
        <f>Q75+Q87</f>
        <v>950000000</v>
      </c>
      <c r="R47" s="62">
        <f t="shared" si="17"/>
        <v>1</v>
      </c>
      <c r="S47" s="48">
        <f t="shared" ref="S47:T47" si="28">S75+S87</f>
        <v>911415000</v>
      </c>
      <c r="T47" s="68">
        <f t="shared" si="28"/>
        <v>911415000</v>
      </c>
    </row>
    <row r="48" spans="1:21" s="47" customFormat="1" ht="15" customHeight="1" x14ac:dyDescent="0.25">
      <c r="A48" s="90" t="s">
        <v>3</v>
      </c>
      <c r="B48" s="11" t="s">
        <v>50</v>
      </c>
      <c r="C48" s="11" t="s">
        <v>50</v>
      </c>
      <c r="D48" s="11"/>
      <c r="E48" s="11"/>
      <c r="F48" s="49"/>
      <c r="G48" s="12" t="s">
        <v>80</v>
      </c>
      <c r="H48" s="11" t="s">
        <v>8</v>
      </c>
      <c r="I48" s="13">
        <v>21</v>
      </c>
      <c r="J48" s="48">
        <f>J76</f>
        <v>475113000</v>
      </c>
      <c r="K48" s="48">
        <f t="shared" ref="K48:L48" si="29">K76</f>
        <v>0</v>
      </c>
      <c r="L48" s="48">
        <f t="shared" si="29"/>
        <v>0</v>
      </c>
      <c r="M48" s="48">
        <f>M76</f>
        <v>475113000</v>
      </c>
      <c r="N48" s="48">
        <f>N76</f>
        <v>0</v>
      </c>
      <c r="O48" s="48">
        <f>O76</f>
        <v>475113000</v>
      </c>
      <c r="P48" s="24">
        <f>P76</f>
        <v>0</v>
      </c>
      <c r="Q48" s="24">
        <f>Q76</f>
        <v>475113000</v>
      </c>
      <c r="R48" s="62">
        <f t="shared" si="17"/>
        <v>1</v>
      </c>
      <c r="S48" s="48">
        <f>S76</f>
        <v>475113000</v>
      </c>
      <c r="T48" s="68">
        <f>T76</f>
        <v>475113000</v>
      </c>
    </row>
    <row r="49" spans="1:20" s="6" customFormat="1" x14ac:dyDescent="0.25">
      <c r="A49" s="91" t="s">
        <v>3</v>
      </c>
      <c r="B49" s="7" t="s">
        <v>50</v>
      </c>
      <c r="C49" s="7" t="s">
        <v>50</v>
      </c>
      <c r="D49" s="7" t="s">
        <v>34</v>
      </c>
      <c r="E49" s="65" t="s">
        <v>35</v>
      </c>
      <c r="F49" s="65" t="s">
        <v>42</v>
      </c>
      <c r="G49" s="23" t="s">
        <v>233</v>
      </c>
      <c r="H49" s="7" t="s">
        <v>5</v>
      </c>
      <c r="I49" s="8">
        <v>10</v>
      </c>
      <c r="J49" s="44">
        <v>0</v>
      </c>
      <c r="K49" s="44">
        <f>50000+100000</f>
        <v>150000</v>
      </c>
      <c r="L49" s="44"/>
      <c r="M49" s="44">
        <f>J49+K49-L49</f>
        <v>150000</v>
      </c>
      <c r="N49" s="44"/>
      <c r="O49" s="44">
        <v>150000</v>
      </c>
      <c r="P49" s="27">
        <f>+M49-O49-N49</f>
        <v>0</v>
      </c>
      <c r="Q49" s="9">
        <v>150000</v>
      </c>
      <c r="R49" s="25">
        <f t="shared" ref="R49:R51" si="30">IF(Q49&gt;1,Q49/(M49),0)</f>
        <v>1</v>
      </c>
      <c r="S49" s="9">
        <v>91000</v>
      </c>
      <c r="T49" s="10">
        <v>91000</v>
      </c>
    </row>
    <row r="50" spans="1:20" s="6" customFormat="1" x14ac:dyDescent="0.25">
      <c r="A50" s="91" t="s">
        <v>3</v>
      </c>
      <c r="B50" s="7" t="s">
        <v>50</v>
      </c>
      <c r="C50" s="7" t="s">
        <v>50</v>
      </c>
      <c r="D50" s="7" t="s">
        <v>34</v>
      </c>
      <c r="E50" s="65" t="s">
        <v>35</v>
      </c>
      <c r="F50" s="65" t="s">
        <v>43</v>
      </c>
      <c r="G50" s="23" t="s">
        <v>232</v>
      </c>
      <c r="H50" s="7" t="s">
        <v>5</v>
      </c>
      <c r="I50" s="8">
        <v>10</v>
      </c>
      <c r="J50" s="44">
        <v>0</v>
      </c>
      <c r="K50" s="44">
        <v>200000</v>
      </c>
      <c r="L50" s="44">
        <v>100000</v>
      </c>
      <c r="M50" s="44">
        <f>J50+K50-L50</f>
        <v>100000</v>
      </c>
      <c r="N50" s="44">
        <v>0</v>
      </c>
      <c r="O50" s="44">
        <v>100000</v>
      </c>
      <c r="P50" s="27">
        <f t="shared" ref="P50:P51" si="31">+M50-O50-N50</f>
        <v>0</v>
      </c>
      <c r="Q50" s="9">
        <v>100000</v>
      </c>
      <c r="R50" s="25">
        <f t="shared" si="30"/>
        <v>1</v>
      </c>
      <c r="S50" s="9">
        <v>100000</v>
      </c>
      <c r="T50" s="10">
        <v>100000</v>
      </c>
    </row>
    <row r="51" spans="1:20" s="6" customFormat="1" ht="41.25" x14ac:dyDescent="0.25">
      <c r="A51" s="91" t="s">
        <v>3</v>
      </c>
      <c r="B51" s="7" t="s">
        <v>50</v>
      </c>
      <c r="C51" s="7" t="s">
        <v>50</v>
      </c>
      <c r="D51" s="7" t="s">
        <v>34</v>
      </c>
      <c r="E51" s="65" t="s">
        <v>37</v>
      </c>
      <c r="F51" s="65" t="s">
        <v>39</v>
      </c>
      <c r="G51" s="107" t="s">
        <v>109</v>
      </c>
      <c r="H51" s="7" t="s">
        <v>5</v>
      </c>
      <c r="I51" s="8">
        <v>10</v>
      </c>
      <c r="J51" s="44">
        <v>5000000</v>
      </c>
      <c r="K51" s="44"/>
      <c r="L51" s="44">
        <f>5000000</f>
        <v>5000000</v>
      </c>
      <c r="M51" s="44">
        <f>J51+K51-L51</f>
        <v>0</v>
      </c>
      <c r="N51" s="44">
        <v>0</v>
      </c>
      <c r="O51" s="44">
        <v>0</v>
      </c>
      <c r="P51" s="27">
        <f t="shared" si="31"/>
        <v>0</v>
      </c>
      <c r="Q51" s="9">
        <v>0</v>
      </c>
      <c r="R51" s="25">
        <f t="shared" si="30"/>
        <v>0</v>
      </c>
      <c r="S51" s="9">
        <v>0</v>
      </c>
      <c r="T51" s="10">
        <v>0</v>
      </c>
    </row>
    <row r="52" spans="1:20" s="6" customFormat="1" ht="32.25" customHeight="1" x14ac:dyDescent="0.25">
      <c r="A52" s="91" t="s">
        <v>3</v>
      </c>
      <c r="B52" s="7" t="s">
        <v>50</v>
      </c>
      <c r="C52" s="7" t="s">
        <v>50</v>
      </c>
      <c r="D52" s="7" t="s">
        <v>34</v>
      </c>
      <c r="E52" s="7" t="s">
        <v>37</v>
      </c>
      <c r="F52" s="65" t="s">
        <v>44</v>
      </c>
      <c r="G52" s="23" t="s">
        <v>212</v>
      </c>
      <c r="H52" s="7" t="s">
        <v>5</v>
      </c>
      <c r="I52" s="8">
        <v>10</v>
      </c>
      <c r="J52" s="44">
        <v>10689249</v>
      </c>
      <c r="K52" s="44">
        <f>10933850+523000+8690000+1633510+1287430+107100+1197991+8724300</f>
        <v>33097181</v>
      </c>
      <c r="L52" s="44">
        <f>300000+12155964+6426</f>
        <v>12462390</v>
      </c>
      <c r="M52" s="44">
        <f t="shared" ref="M52" si="32">J52+K52-L52</f>
        <v>31324040</v>
      </c>
      <c r="N52" s="127">
        <f>M52-[1]REP_EPG034_EjecucionPresupuesta!$T$43</f>
        <v>0</v>
      </c>
      <c r="O52" s="44">
        <v>31324040</v>
      </c>
      <c r="P52" s="27">
        <f>+M52-O52-N52</f>
        <v>0</v>
      </c>
      <c r="Q52" s="9">
        <v>31324040</v>
      </c>
      <c r="R52" s="25">
        <f t="shared" si="17"/>
        <v>1</v>
      </c>
      <c r="S52" s="9">
        <v>15398600</v>
      </c>
      <c r="T52" s="10">
        <v>15398600</v>
      </c>
    </row>
    <row r="53" spans="1:20" s="6" customFormat="1" ht="16.5" x14ac:dyDescent="0.25">
      <c r="A53" s="91" t="s">
        <v>3</v>
      </c>
      <c r="B53" s="7" t="s">
        <v>50</v>
      </c>
      <c r="C53" s="7" t="s">
        <v>50</v>
      </c>
      <c r="D53" s="7" t="s">
        <v>34</v>
      </c>
      <c r="E53" s="7" t="s">
        <v>37</v>
      </c>
      <c r="F53" s="7" t="s">
        <v>45</v>
      </c>
      <c r="G53" s="23" t="s">
        <v>110</v>
      </c>
      <c r="H53" s="7" t="s">
        <v>5</v>
      </c>
      <c r="I53" s="8" t="s">
        <v>6</v>
      </c>
      <c r="J53" s="44">
        <v>662899534</v>
      </c>
      <c r="K53" s="44">
        <f>5367603.9+3281650+7000000+46000000+7827290+58467950+10000000+11549621+2825017+24950000+22933794</f>
        <v>200202925.90000001</v>
      </c>
      <c r="L53" s="44">
        <f>9933700+12473363.13+3586650+1173500+3793966+492290+21905650+4761800+5501000+2380000+1071000+3219000+1291500+75030291+14596+33000000</f>
        <v>179628306.13</v>
      </c>
      <c r="M53" s="44">
        <f t="shared" ref="M53:M81" si="33">J53+K53-L53</f>
        <v>683474153.76999998</v>
      </c>
      <c r="N53" s="128">
        <f>M53-[1]REP_EPG034_EjecucionPresupuesta!$T$44</f>
        <v>0</v>
      </c>
      <c r="O53" s="44">
        <v>660151636.73000002</v>
      </c>
      <c r="P53" s="27">
        <f>+M53-O53-N53</f>
        <v>23322517.039999962</v>
      </c>
      <c r="Q53" s="9">
        <v>660151636.73000002</v>
      </c>
      <c r="R53" s="25">
        <f t="shared" si="17"/>
        <v>0.965876519380646</v>
      </c>
      <c r="S53" s="9">
        <v>429449937.36000001</v>
      </c>
      <c r="T53" s="10">
        <v>429449937.36000001</v>
      </c>
    </row>
    <row r="54" spans="1:20" s="6" customFormat="1" ht="24.75" x14ac:dyDescent="0.25">
      <c r="A54" s="91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7" t="s">
        <v>35</v>
      </c>
      <c r="G54" s="23" t="s">
        <v>111</v>
      </c>
      <c r="H54" s="7" t="s">
        <v>5</v>
      </c>
      <c r="I54" s="8" t="s">
        <v>6</v>
      </c>
      <c r="J54" s="44">
        <v>10000</v>
      </c>
      <c r="K54" s="44">
        <f>1200000+2000000+10043628</f>
        <v>13243628</v>
      </c>
      <c r="L54" s="44">
        <f>500000+10000+3837628</f>
        <v>4347628</v>
      </c>
      <c r="M54" s="44">
        <f t="shared" si="33"/>
        <v>8906000</v>
      </c>
      <c r="N54" s="9">
        <v>0</v>
      </c>
      <c r="O54" s="44">
        <v>8906000</v>
      </c>
      <c r="P54" s="27">
        <f t="shared" ref="P54:P88" si="34">+M54-O54-N54</f>
        <v>0</v>
      </c>
      <c r="Q54" s="9">
        <v>8906000</v>
      </c>
      <c r="R54" s="25">
        <f t="shared" si="17"/>
        <v>1</v>
      </c>
      <c r="S54" s="9">
        <v>8906000</v>
      </c>
      <c r="T54" s="10">
        <v>8906000</v>
      </c>
    </row>
    <row r="55" spans="1:20" s="6" customFormat="1" ht="43.5" customHeight="1" x14ac:dyDescent="0.25">
      <c r="A55" s="91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7" t="s">
        <v>37</v>
      </c>
      <c r="G55" s="23" t="s">
        <v>215</v>
      </c>
      <c r="H55" s="7" t="s">
        <v>5</v>
      </c>
      <c r="I55" s="8">
        <v>10</v>
      </c>
      <c r="J55" s="44">
        <v>126215878</v>
      </c>
      <c r="K55" s="44">
        <f>900000+33000+68000000+1573500+60000000+614734+47992767+9711871+52583268+3793966+23277389+14000000+4776379+10882938+15993600</f>
        <v>314133412</v>
      </c>
      <c r="L55" s="44">
        <f>11423842+1419723+198802+961500+750+31753750+3505957+10169960+1000000+4776379+145865+115377+29086+16839017</f>
        <v>82340008</v>
      </c>
      <c r="M55" s="44">
        <f>J55+K55-L55</f>
        <v>358009282</v>
      </c>
      <c r="N55" s="128">
        <f>M55-[1]REP_EPG034_EjecucionPresupuesta!$T$46</f>
        <v>0</v>
      </c>
      <c r="O55" s="44">
        <v>357979141</v>
      </c>
      <c r="P55" s="44">
        <f t="shared" si="34"/>
        <v>30141</v>
      </c>
      <c r="Q55" s="9">
        <v>357979141</v>
      </c>
      <c r="R55" s="25">
        <f t="shared" si="17"/>
        <v>0.99991580944540981</v>
      </c>
      <c r="S55" s="9">
        <v>175902909</v>
      </c>
      <c r="T55" s="10">
        <v>175902909</v>
      </c>
    </row>
    <row r="56" spans="1:20" s="6" customFormat="1" ht="23.25" customHeight="1" x14ac:dyDescent="0.25">
      <c r="A56" s="91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7" t="s">
        <v>39</v>
      </c>
      <c r="G56" s="23" t="s">
        <v>112</v>
      </c>
      <c r="H56" s="7" t="s">
        <v>5</v>
      </c>
      <c r="I56" s="8" t="s">
        <v>6</v>
      </c>
      <c r="J56" s="44">
        <v>353285398</v>
      </c>
      <c r="K56" s="44">
        <f>900000+1500000+4740000+650400+200000+9300000+1500000+500000+1362000</f>
        <v>20652400</v>
      </c>
      <c r="L56" s="44">
        <f xml:space="preserve"> 983260+2000000+75951622+504736+3113094</f>
        <v>82552712</v>
      </c>
      <c r="M56" s="44">
        <f>J56+K56-L56</f>
        <v>291385086</v>
      </c>
      <c r="N56" s="27">
        <v>0</v>
      </c>
      <c r="O56" s="44">
        <v>288228105</v>
      </c>
      <c r="P56" s="27">
        <f t="shared" si="34"/>
        <v>3156981</v>
      </c>
      <c r="Q56" s="9">
        <v>288228105</v>
      </c>
      <c r="R56" s="25">
        <f t="shared" si="17"/>
        <v>0.98916560540782106</v>
      </c>
      <c r="S56" s="9">
        <v>246401411.19</v>
      </c>
      <c r="T56" s="10">
        <v>246401411.19</v>
      </c>
    </row>
    <row r="57" spans="1:20" s="6" customFormat="1" x14ac:dyDescent="0.25">
      <c r="A57" s="91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7" t="s">
        <v>40</v>
      </c>
      <c r="G57" s="23" t="s">
        <v>113</v>
      </c>
      <c r="H57" s="7" t="s">
        <v>5</v>
      </c>
      <c r="I57" s="8" t="s">
        <v>6</v>
      </c>
      <c r="J57" s="44">
        <v>329921413</v>
      </c>
      <c r="K57" s="44">
        <f>9781546+1100000+1500000+5000000+25000000+11011000+7460860+1365600+500000+2886651+11230000+9568000</f>
        <v>86403657</v>
      </c>
      <c r="L57" s="44">
        <f>6250072+8248057+10658867+6056480+12011000+7460860+1694657+2675997+3056+3430949+62789+201162+5260157</f>
        <v>64014103</v>
      </c>
      <c r="M57" s="44">
        <f t="shared" si="33"/>
        <v>352310967</v>
      </c>
      <c r="N57" s="27">
        <v>0</v>
      </c>
      <c r="O57" s="44">
        <v>351492938.44999999</v>
      </c>
      <c r="P57" s="44">
        <f t="shared" si="34"/>
        <v>818028.55000001192</v>
      </c>
      <c r="Q57" s="9">
        <v>351492938.44999999</v>
      </c>
      <c r="R57" s="25">
        <f t="shared" si="17"/>
        <v>0.99767810648369626</v>
      </c>
      <c r="S57" s="9">
        <v>251201886.41999999</v>
      </c>
      <c r="T57" s="10">
        <v>251201886.41999999</v>
      </c>
    </row>
    <row r="58" spans="1:20" s="6" customFormat="1" ht="29.25" customHeight="1" x14ac:dyDescent="0.25">
      <c r="A58" s="91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7" t="s">
        <v>42</v>
      </c>
      <c r="G58" s="23" t="s">
        <v>114</v>
      </c>
      <c r="H58" s="7" t="s">
        <v>5</v>
      </c>
      <c r="I58" s="8" t="s">
        <v>6</v>
      </c>
      <c r="J58" s="44">
        <v>90459640</v>
      </c>
      <c r="K58" s="44">
        <f>685420+3400000+9000000+71669518+415650+126000+15915866+6587505+3093638+23669389.66+1600000+730809+500000+7098900+31080+2385248+5668711+3084316+21050000+6100000+15906724+2380000+26058542+6421392+1391606+1087116</f>
        <v>236057430.66</v>
      </c>
      <c r="L58" s="44">
        <f>25000000+28720+89119679+864045+2000000+57062+440+10147309+8015514+2000+3823600+734281+385283.52</f>
        <v>140177933.52000001</v>
      </c>
      <c r="M58" s="44">
        <f t="shared" si="33"/>
        <v>186339137.13999996</v>
      </c>
      <c r="N58" s="27">
        <v>0</v>
      </c>
      <c r="O58" s="44">
        <v>186337142.22999999</v>
      </c>
      <c r="P58" s="44">
        <f t="shared" si="34"/>
        <v>1994.9099999666214</v>
      </c>
      <c r="Q58" s="9">
        <v>186337142.22999999</v>
      </c>
      <c r="R58" s="25">
        <f t="shared" si="17"/>
        <v>0.99998929419750149</v>
      </c>
      <c r="S58" s="9">
        <v>21175003</v>
      </c>
      <c r="T58" s="10">
        <v>21175003</v>
      </c>
    </row>
    <row r="59" spans="1:20" s="6" customFormat="1" ht="16.5" x14ac:dyDescent="0.25">
      <c r="A59" s="91" t="s">
        <v>3</v>
      </c>
      <c r="B59" s="7" t="s">
        <v>50</v>
      </c>
      <c r="C59" s="7" t="s">
        <v>50</v>
      </c>
      <c r="D59" s="7" t="s">
        <v>34</v>
      </c>
      <c r="E59" s="7" t="s">
        <v>39</v>
      </c>
      <c r="F59" s="7" t="s">
        <v>43</v>
      </c>
      <c r="G59" s="23" t="s">
        <v>115</v>
      </c>
      <c r="H59" s="7" t="s">
        <v>5</v>
      </c>
      <c r="I59" s="8" t="s">
        <v>6</v>
      </c>
      <c r="J59" s="44">
        <v>336036763</v>
      </c>
      <c r="K59" s="44">
        <f>6471822+50000000+13620000+1411324+64000000+500000+99478792.28+120230208+912870+27729287+16533960+2843600+2616000+6000000+21732488+47727760+1731657+26114156.9+3000000+51642879+1469480+5300000+104146+48943728.87+2457672+4776379+4435930+7124768+27050198+722122+8646400+3823600+6000+745764</f>
        <v>679902992.04999995</v>
      </c>
      <c r="L59" s="44">
        <f>20577512+2769584+6765305+2983330+8517735+127253+23457950+412881+500000+20000000+2870+42355978+5668711+107330+3848470+1000000+1362000+2583002+62133+22328319+1090037+3238353+567011.88</f>
        <v>170325764.88</v>
      </c>
      <c r="M59" s="44">
        <f t="shared" si="33"/>
        <v>845613990.16999996</v>
      </c>
      <c r="N59" s="128">
        <f>M59-[1]REP_EPG034_EjecucionPresupuesta!$T$50</f>
        <v>0</v>
      </c>
      <c r="O59" s="44">
        <v>844058620.91999996</v>
      </c>
      <c r="P59" s="44">
        <f t="shared" si="34"/>
        <v>1555369.25</v>
      </c>
      <c r="Q59" s="9">
        <v>844058620.91999996</v>
      </c>
      <c r="R59" s="25">
        <f t="shared" si="17"/>
        <v>0.99816066282242166</v>
      </c>
      <c r="S59" s="9">
        <v>443201604.72000003</v>
      </c>
      <c r="T59" s="10">
        <v>443201604.72000003</v>
      </c>
    </row>
    <row r="60" spans="1:20" s="6" customFormat="1" ht="24.75" x14ac:dyDescent="0.25">
      <c r="A60" s="91" t="s">
        <v>3</v>
      </c>
      <c r="B60" s="7" t="s">
        <v>50</v>
      </c>
      <c r="C60" s="7" t="s">
        <v>50</v>
      </c>
      <c r="D60" s="7" t="s">
        <v>34</v>
      </c>
      <c r="E60" s="7" t="s">
        <v>39</v>
      </c>
      <c r="F60" s="7" t="s">
        <v>44</v>
      </c>
      <c r="G60" s="23" t="s">
        <v>116</v>
      </c>
      <c r="H60" s="7" t="s">
        <v>5</v>
      </c>
      <c r="I60" s="63" t="s">
        <v>6</v>
      </c>
      <c r="J60" s="44">
        <v>4200000</v>
      </c>
      <c r="K60" s="44">
        <f>660637+3920858+67583193+4000000+3072000+80000+2000000+51780</f>
        <v>81368468</v>
      </c>
      <c r="L60" s="44">
        <f>600000+3920858+139072+1000000+20913+3106.8</f>
        <v>5683949.7999999998</v>
      </c>
      <c r="M60" s="44">
        <f>J60+K60-L60</f>
        <v>79884518.200000003</v>
      </c>
      <c r="N60" s="9">
        <v>0</v>
      </c>
      <c r="O60" s="44">
        <v>79883486.200000003</v>
      </c>
      <c r="P60" s="27">
        <f t="shared" si="34"/>
        <v>1032</v>
      </c>
      <c r="Q60" s="9">
        <v>79883486.200000003</v>
      </c>
      <c r="R60" s="25">
        <f t="shared" si="17"/>
        <v>0.99998708135164038</v>
      </c>
      <c r="S60" s="9">
        <v>6464317</v>
      </c>
      <c r="T60" s="10">
        <v>6464317</v>
      </c>
    </row>
    <row r="61" spans="1:20" s="6" customFormat="1" ht="16.5" x14ac:dyDescent="0.25">
      <c r="A61" s="91" t="s">
        <v>3</v>
      </c>
      <c r="B61" s="7" t="s">
        <v>50</v>
      </c>
      <c r="C61" s="7" t="s">
        <v>50</v>
      </c>
      <c r="D61" s="7" t="s">
        <v>34</v>
      </c>
      <c r="E61" s="7" t="s">
        <v>39</v>
      </c>
      <c r="F61" s="7" t="s">
        <v>45</v>
      </c>
      <c r="G61" s="23" t="s">
        <v>117</v>
      </c>
      <c r="H61" s="7" t="s">
        <v>5</v>
      </c>
      <c r="I61" s="8" t="s">
        <v>6</v>
      </c>
      <c r="J61" s="44">
        <v>282668220</v>
      </c>
      <c r="K61" s="44">
        <f>3830280+600000+515566+2113061+685000+44798.35+718893+50000+12626433+50000+31753750+7787+722840+1129754+8278046+8469063+7132379+4921</f>
        <v>78732571.349999994</v>
      </c>
      <c r="L61" s="44">
        <f>1100000+114718262+17662512+71420+121587487+100000+43124+375+529893+715+380000+2982013.24</f>
        <v>259175801.24000001</v>
      </c>
      <c r="M61" s="44">
        <f>J61+K61-L61</f>
        <v>102224990.11000001</v>
      </c>
      <c r="N61" s="9">
        <v>0</v>
      </c>
      <c r="O61" s="44">
        <v>102212432.76000001</v>
      </c>
      <c r="P61" s="27">
        <f>+M61-O61-N61</f>
        <v>12557.350000008941</v>
      </c>
      <c r="Q61" s="9">
        <v>102212432.76000001</v>
      </c>
      <c r="R61" s="25">
        <f t="shared" si="17"/>
        <v>0.99987715968486279</v>
      </c>
      <c r="S61" s="9">
        <v>71583677</v>
      </c>
      <c r="T61" s="10">
        <v>71583677</v>
      </c>
    </row>
    <row r="62" spans="1:20" s="6" customFormat="1" x14ac:dyDescent="0.25">
      <c r="A62" s="91" t="s">
        <v>3</v>
      </c>
      <c r="B62" s="7" t="s">
        <v>50</v>
      </c>
      <c r="C62" s="7" t="s">
        <v>50</v>
      </c>
      <c r="D62" s="7" t="s">
        <v>34</v>
      </c>
      <c r="E62" s="7" t="s">
        <v>40</v>
      </c>
      <c r="F62" s="7" t="s">
        <v>35</v>
      </c>
      <c r="G62" s="23" t="s">
        <v>118</v>
      </c>
      <c r="H62" s="7" t="s">
        <v>5</v>
      </c>
      <c r="I62" s="8" t="s">
        <v>6</v>
      </c>
      <c r="J62" s="44">
        <v>4200000</v>
      </c>
      <c r="K62" s="44">
        <f>1000000+140343.1+400000+6739499+100000+101824</f>
        <v>8481666.0999999996</v>
      </c>
      <c r="L62" s="44">
        <f>4200000+101824</f>
        <v>4301824</v>
      </c>
      <c r="M62" s="44">
        <f>J62+K62-L62</f>
        <v>8379842.0999999996</v>
      </c>
      <c r="N62" s="108">
        <f>K62-[2]REP_EPG034_EjecucionPresupuesta!$R$53</f>
        <v>0</v>
      </c>
      <c r="O62" s="44">
        <v>8333457</v>
      </c>
      <c r="P62" s="27">
        <f t="shared" si="34"/>
        <v>46385.099999999627</v>
      </c>
      <c r="Q62" s="9">
        <v>8333457</v>
      </c>
      <c r="R62" s="25">
        <f t="shared" si="17"/>
        <v>0.99446468090371298</v>
      </c>
      <c r="S62" s="9">
        <v>1114000</v>
      </c>
      <c r="T62" s="10">
        <v>1114000</v>
      </c>
    </row>
    <row r="63" spans="1:20" s="6" customFormat="1" ht="24.75" x14ac:dyDescent="0.25">
      <c r="A63" s="91" t="s">
        <v>3</v>
      </c>
      <c r="B63" s="7" t="s">
        <v>50</v>
      </c>
      <c r="C63" s="7" t="s">
        <v>50</v>
      </c>
      <c r="D63" s="7" t="s">
        <v>34</v>
      </c>
      <c r="E63" s="7" t="s">
        <v>40</v>
      </c>
      <c r="F63" s="7" t="s">
        <v>37</v>
      </c>
      <c r="G63" s="23" t="s">
        <v>119</v>
      </c>
      <c r="H63" s="7" t="s">
        <v>5</v>
      </c>
      <c r="I63" s="8" t="s">
        <v>6</v>
      </c>
      <c r="J63" s="44">
        <v>102299498</v>
      </c>
      <c r="K63" s="44">
        <f>388320+4816875+1600000+554842+2400000+26611424+16188680+93837314+38659368+6500000+1286619+462107+408916+23239408.92+5000000+300000+495910+383280+6822361+407204+635000+30176231+1756440+173466+1468946+7843200+19952462+13000000+788260+6725145.62</f>
        <v>312881779.54000002</v>
      </c>
      <c r="L63" s="44">
        <f>655801+2789620+713338+2190200+2350000+2120+2001800+126646+2941200+1000448+9822247+788260</f>
        <v>25381680</v>
      </c>
      <c r="M63" s="44">
        <f>J63+K63-L63</f>
        <v>389799597.54000002</v>
      </c>
      <c r="N63" s="9">
        <v>0</v>
      </c>
      <c r="O63" s="44">
        <v>389390056.43000001</v>
      </c>
      <c r="P63" s="27">
        <f t="shared" si="34"/>
        <v>409541.11000001431</v>
      </c>
      <c r="Q63" s="9">
        <v>389390056.43000001</v>
      </c>
      <c r="R63" s="25">
        <f t="shared" si="17"/>
        <v>0.99894935471307666</v>
      </c>
      <c r="S63" s="9">
        <v>99921363.060000002</v>
      </c>
      <c r="T63" s="10">
        <v>99921363.060000002</v>
      </c>
    </row>
    <row r="64" spans="1:20" s="6" customFormat="1" ht="16.5" x14ac:dyDescent="0.25">
      <c r="A64" s="91" t="s">
        <v>3</v>
      </c>
      <c r="B64" s="7" t="s">
        <v>50</v>
      </c>
      <c r="C64" s="7" t="s">
        <v>50</v>
      </c>
      <c r="D64" s="7" t="s">
        <v>34</v>
      </c>
      <c r="E64" s="7" t="s">
        <v>40</v>
      </c>
      <c r="F64" s="65" t="s">
        <v>39</v>
      </c>
      <c r="G64" s="23" t="s">
        <v>107</v>
      </c>
      <c r="H64" s="7" t="s">
        <v>5</v>
      </c>
      <c r="I64" s="8" t="s">
        <v>6</v>
      </c>
      <c r="J64" s="44"/>
      <c r="K64" s="44">
        <f>1600000+936058+17988+1500000+558124+12240457+7246213</f>
        <v>24098840</v>
      </c>
      <c r="L64" s="44">
        <f>1600000+12240457+434772.78</f>
        <v>14275229.779999999</v>
      </c>
      <c r="M64" s="44">
        <f>J64+K64-L64</f>
        <v>9823610.2200000007</v>
      </c>
      <c r="N64" s="128">
        <f>M64-[1]REP_EPG034_EjecucionPresupuesta!$T$55</f>
        <v>0</v>
      </c>
      <c r="O64" s="44">
        <v>9805622.2200000007</v>
      </c>
      <c r="P64" s="27">
        <f t="shared" si="34"/>
        <v>17988</v>
      </c>
      <c r="Q64" s="9">
        <v>9805622.2200000007</v>
      </c>
      <c r="R64" s="25">
        <f t="shared" si="17"/>
        <v>0.99816890129014102</v>
      </c>
      <c r="S64" s="9">
        <v>432000</v>
      </c>
      <c r="T64" s="10">
        <v>432000</v>
      </c>
    </row>
    <row r="65" spans="1:20" s="6" customFormat="1" ht="16.5" x14ac:dyDescent="0.25">
      <c r="A65" s="91" t="s">
        <v>3</v>
      </c>
      <c r="B65" s="7" t="s">
        <v>50</v>
      </c>
      <c r="C65" s="7" t="s">
        <v>50</v>
      </c>
      <c r="D65" s="7" t="s">
        <v>34</v>
      </c>
      <c r="E65" s="7" t="s">
        <v>40</v>
      </c>
      <c r="F65" s="65" t="s">
        <v>40</v>
      </c>
      <c r="G65" s="23" t="s">
        <v>108</v>
      </c>
      <c r="H65" s="7" t="s">
        <v>5</v>
      </c>
      <c r="I65" s="8" t="s">
        <v>6</v>
      </c>
      <c r="J65" s="44"/>
      <c r="K65" s="44">
        <f>2295000+197248+35355649+11752560+7000000+1129040</f>
        <v>57729497</v>
      </c>
      <c r="L65" s="44">
        <f>98624+11561067+37749273+67742.4</f>
        <v>49476706.399999999</v>
      </c>
      <c r="M65" s="44">
        <f t="shared" ref="M65" si="35">J65+K65-L65</f>
        <v>8252790.6000000015</v>
      </c>
      <c r="N65" s="9">
        <v>0</v>
      </c>
      <c r="O65" s="44">
        <v>8061297.5999999996</v>
      </c>
      <c r="P65" s="27">
        <f t="shared" ref="P65" si="36">+M65-O65-N65</f>
        <v>191493.00000000186</v>
      </c>
      <c r="Q65" s="9">
        <v>8061297.5999999996</v>
      </c>
      <c r="R65" s="25">
        <f t="shared" ref="R65" si="37">IF(Q65&gt;1,Q65/(M65),0)</f>
        <v>0.97679657593638669</v>
      </c>
      <c r="S65" s="9">
        <v>2923000</v>
      </c>
      <c r="T65" s="10">
        <v>2923000</v>
      </c>
    </row>
    <row r="66" spans="1:20" s="6" customFormat="1" ht="16.5" x14ac:dyDescent="0.25">
      <c r="A66" s="91" t="s">
        <v>3</v>
      </c>
      <c r="B66" s="7" t="s">
        <v>50</v>
      </c>
      <c r="C66" s="7" t="s">
        <v>50</v>
      </c>
      <c r="D66" s="7" t="s">
        <v>34</v>
      </c>
      <c r="E66" s="7" t="s">
        <v>40</v>
      </c>
      <c r="F66" s="7" t="s">
        <v>42</v>
      </c>
      <c r="G66" s="23" t="s">
        <v>120</v>
      </c>
      <c r="H66" s="7" t="s">
        <v>5</v>
      </c>
      <c r="I66" s="8" t="s">
        <v>6</v>
      </c>
      <c r="J66" s="44">
        <v>4615110</v>
      </c>
      <c r="K66" s="44">
        <f>983880+370549+1014273+2653516+1076530+9665563+1146565+4200000+53484075+64029556+9972575</f>
        <v>148597082</v>
      </c>
      <c r="L66" s="44">
        <f>370549+1134+1000+45000</f>
        <v>417683</v>
      </c>
      <c r="M66" s="44">
        <f>J66+K66-L66</f>
        <v>152794509</v>
      </c>
      <c r="N66" s="9">
        <v>0</v>
      </c>
      <c r="O66" s="44">
        <v>152792780.61000001</v>
      </c>
      <c r="P66" s="27">
        <f t="shared" si="34"/>
        <v>1728.3899999856949</v>
      </c>
      <c r="Q66" s="9">
        <v>152792780.61000001</v>
      </c>
      <c r="R66" s="25">
        <f t="shared" si="17"/>
        <v>0.99998868814061903</v>
      </c>
      <c r="S66" s="9">
        <v>16491574</v>
      </c>
      <c r="T66" s="10">
        <v>16491574</v>
      </c>
    </row>
    <row r="67" spans="1:20" s="6" customFormat="1" ht="16.5" x14ac:dyDescent="0.25">
      <c r="A67" s="91" t="s">
        <v>3</v>
      </c>
      <c r="B67" s="7" t="s">
        <v>50</v>
      </c>
      <c r="C67" s="7" t="s">
        <v>50</v>
      </c>
      <c r="D67" s="7" t="s">
        <v>34</v>
      </c>
      <c r="E67" s="7" t="s">
        <v>40</v>
      </c>
      <c r="F67" s="7" t="s">
        <v>43</v>
      </c>
      <c r="G67" s="23" t="s">
        <v>121</v>
      </c>
      <c r="H67" s="7" t="s">
        <v>5</v>
      </c>
      <c r="I67" s="8" t="s">
        <v>6</v>
      </c>
      <c r="J67" s="44">
        <v>32000000</v>
      </c>
      <c r="K67" s="44">
        <f>10739512+9409250+639000+2873092+5102333+38240462+6000000+7231116+128078849.37+4000000+30000000+39994461+200000+5600448+68889312+10045629+5072519</f>
        <v>372115983.37</v>
      </c>
      <c r="L67" s="44">
        <f>1436546+1598160+291266+3606131+1600000+9000+19772379+908552+24060626+296310</f>
        <v>53578970</v>
      </c>
      <c r="M67" s="44">
        <f t="shared" si="33"/>
        <v>350537013.37</v>
      </c>
      <c r="N67" s="9">
        <v>0</v>
      </c>
      <c r="O67" s="44">
        <v>350534011.39999998</v>
      </c>
      <c r="P67" s="27">
        <f t="shared" si="34"/>
        <v>3001.9700000286102</v>
      </c>
      <c r="Q67" s="9">
        <v>350534011.39999998</v>
      </c>
      <c r="R67" s="25">
        <f t="shared" si="17"/>
        <v>0.99999143608268015</v>
      </c>
      <c r="S67" s="9">
        <v>32703578.399999999</v>
      </c>
      <c r="T67" s="10">
        <v>32703578.399999999</v>
      </c>
    </row>
    <row r="68" spans="1:20" s="6" customFormat="1" ht="16.5" x14ac:dyDescent="0.25">
      <c r="A68" s="91" t="s">
        <v>3</v>
      </c>
      <c r="B68" s="7" t="s">
        <v>50</v>
      </c>
      <c r="C68" s="7" t="s">
        <v>50</v>
      </c>
      <c r="D68" s="7" t="s">
        <v>34</v>
      </c>
      <c r="E68" s="7" t="s">
        <v>40</v>
      </c>
      <c r="F68" s="65" t="s">
        <v>44</v>
      </c>
      <c r="G68" s="23" t="s">
        <v>122</v>
      </c>
      <c r="H68" s="7" t="s">
        <v>5</v>
      </c>
      <c r="I68" s="8" t="s">
        <v>6</v>
      </c>
      <c r="J68" s="44"/>
      <c r="K68" s="44">
        <v>1045000000</v>
      </c>
      <c r="L68" s="44">
        <f>50000000+50000000+10000000</f>
        <v>110000000</v>
      </c>
      <c r="M68" s="44">
        <f t="shared" ref="M68" si="38">J68+K68-L68</f>
        <v>935000000</v>
      </c>
      <c r="N68" s="128">
        <f>M68-[1]REP_EPG034_EjecucionPresupuesta!$T$59</f>
        <v>0</v>
      </c>
      <c r="O68" s="44">
        <v>781846430</v>
      </c>
      <c r="P68" s="27">
        <f t="shared" ref="P68" si="39">+M68-O68-N68</f>
        <v>153153570</v>
      </c>
      <c r="Q68" s="9">
        <v>781846430</v>
      </c>
      <c r="R68" s="25">
        <f t="shared" ref="R68" si="40">IF(Q68&gt;1,Q68/(M68),0)</f>
        <v>0.83619939037433155</v>
      </c>
      <c r="S68" s="9">
        <v>0</v>
      </c>
      <c r="T68" s="10">
        <v>0</v>
      </c>
    </row>
    <row r="69" spans="1:20" s="6" customFormat="1" ht="24.75" x14ac:dyDescent="0.25">
      <c r="A69" s="91" t="s">
        <v>3</v>
      </c>
      <c r="B69" s="7" t="s">
        <v>50</v>
      </c>
      <c r="C69" s="65" t="s">
        <v>50</v>
      </c>
      <c r="D69" s="7" t="s">
        <v>34</v>
      </c>
      <c r="E69" s="7" t="s">
        <v>40</v>
      </c>
      <c r="F69" s="7" t="s">
        <v>45</v>
      </c>
      <c r="G69" s="23" t="s">
        <v>140</v>
      </c>
      <c r="H69" s="7" t="s">
        <v>5</v>
      </c>
      <c r="I69" s="8" t="s">
        <v>6</v>
      </c>
      <c r="J69" s="44">
        <v>10100000</v>
      </c>
      <c r="K69" s="44">
        <f>48000+26180+651840+17687251+62914+1556580+14342404+205417+258273+6650+15671511+1567106+56294+2795572+15671511+1379768+39270</f>
        <v>72026541</v>
      </c>
      <c r="L69" s="44">
        <f>10000000+22666+1000+31343022+450005</f>
        <v>41816693</v>
      </c>
      <c r="M69" s="44">
        <f t="shared" si="33"/>
        <v>40309848</v>
      </c>
      <c r="N69" s="9">
        <v>0</v>
      </c>
      <c r="O69" s="44">
        <v>40309054.200000003</v>
      </c>
      <c r="P69" s="27">
        <f>+M69-O69-N69</f>
        <v>793.79999999701977</v>
      </c>
      <c r="Q69" s="9">
        <v>40309054.200000003</v>
      </c>
      <c r="R69" s="25">
        <f t="shared" si="17"/>
        <v>0.9999803075417204</v>
      </c>
      <c r="S69" s="9">
        <v>2850419</v>
      </c>
      <c r="T69" s="10">
        <v>2850419</v>
      </c>
    </row>
    <row r="70" spans="1:20" s="6" customFormat="1" x14ac:dyDescent="0.25">
      <c r="A70" s="91" t="s">
        <v>3</v>
      </c>
      <c r="B70" s="7" t="s">
        <v>50</v>
      </c>
      <c r="C70" s="7" t="s">
        <v>50</v>
      </c>
      <c r="D70" s="7" t="s">
        <v>50</v>
      </c>
      <c r="E70" s="7" t="s">
        <v>42</v>
      </c>
      <c r="F70" s="7" t="s">
        <v>40</v>
      </c>
      <c r="G70" s="23" t="s">
        <v>123</v>
      </c>
      <c r="H70" s="7" t="s">
        <v>5</v>
      </c>
      <c r="I70" s="8" t="s">
        <v>6</v>
      </c>
      <c r="J70" s="44">
        <v>15000000</v>
      </c>
      <c r="K70" s="44">
        <f>2603977.54+1075658299+670000000+1078267925+218500000+819367038+212313923+2.7+49911800</f>
        <v>4126622965.2399998</v>
      </c>
      <c r="L70" s="44">
        <f>15000000</f>
        <v>15000000</v>
      </c>
      <c r="M70" s="44">
        <f t="shared" si="33"/>
        <v>4126622965.2399998</v>
      </c>
      <c r="N70" s="9">
        <v>0</v>
      </c>
      <c r="O70" s="44">
        <v>4125925316.54</v>
      </c>
      <c r="P70" s="27">
        <f>+M70-O70-N70</f>
        <v>697648.69999980927</v>
      </c>
      <c r="Q70" s="9">
        <v>4125925316.54</v>
      </c>
      <c r="R70" s="25">
        <f t="shared" si="17"/>
        <v>0.99983093955859881</v>
      </c>
      <c r="S70" s="9">
        <v>2603977.54</v>
      </c>
      <c r="T70" s="10">
        <v>2603977.54</v>
      </c>
    </row>
    <row r="71" spans="1:20" s="6" customFormat="1" ht="16.5" x14ac:dyDescent="0.25">
      <c r="A71" s="91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7" t="s">
        <v>40</v>
      </c>
      <c r="G71" s="23" t="s">
        <v>124</v>
      </c>
      <c r="H71" s="7" t="s">
        <v>5</v>
      </c>
      <c r="I71" s="8" t="s">
        <v>6</v>
      </c>
      <c r="J71" s="44">
        <v>943654750</v>
      </c>
      <c r="K71" s="44">
        <f>3000000+30000000+2000000+1116803+5000000+2000000+3000000+1064008+35100+500000</f>
        <v>47715911</v>
      </c>
      <c r="L71" s="44">
        <f>10000000+33000000+15000000+432000+18000000+617000+76200</f>
        <v>77125200</v>
      </c>
      <c r="M71" s="44">
        <f t="shared" si="33"/>
        <v>914245461</v>
      </c>
      <c r="N71" s="9">
        <v>0</v>
      </c>
      <c r="O71" s="44">
        <v>900148357</v>
      </c>
      <c r="P71" s="27">
        <f t="shared" si="34"/>
        <v>14097104</v>
      </c>
      <c r="Q71" s="9">
        <v>900148357</v>
      </c>
      <c r="R71" s="25">
        <f t="shared" si="17"/>
        <v>0.98458061363019445</v>
      </c>
      <c r="S71" s="9">
        <v>848519561</v>
      </c>
      <c r="T71" s="10">
        <v>848519561</v>
      </c>
    </row>
    <row r="72" spans="1:20" s="6" customFormat="1" ht="16.5" x14ac:dyDescent="0.25">
      <c r="A72" s="91" t="s">
        <v>3</v>
      </c>
      <c r="B72" s="7" t="s">
        <v>50</v>
      </c>
      <c r="C72" s="7" t="s">
        <v>50</v>
      </c>
      <c r="D72" s="7" t="s">
        <v>50</v>
      </c>
      <c r="E72" s="7" t="s">
        <v>43</v>
      </c>
      <c r="F72" s="7" t="s">
        <v>42</v>
      </c>
      <c r="G72" s="23" t="s">
        <v>125</v>
      </c>
      <c r="H72" s="7" t="s">
        <v>5</v>
      </c>
      <c r="I72" s="8" t="s">
        <v>6</v>
      </c>
      <c r="J72" s="44">
        <v>241200000</v>
      </c>
      <c r="K72" s="44"/>
      <c r="L72" s="44"/>
      <c r="M72" s="44">
        <f t="shared" si="33"/>
        <v>241200000</v>
      </c>
      <c r="N72" s="9">
        <v>0</v>
      </c>
      <c r="O72" s="44">
        <v>241200000</v>
      </c>
      <c r="P72" s="27">
        <f t="shared" si="34"/>
        <v>0</v>
      </c>
      <c r="Q72" s="9">
        <v>241200000</v>
      </c>
      <c r="R72" s="25">
        <f t="shared" si="17"/>
        <v>1</v>
      </c>
      <c r="S72" s="9">
        <v>104340883</v>
      </c>
      <c r="T72" s="10">
        <v>104340883</v>
      </c>
    </row>
    <row r="73" spans="1:20" s="6" customFormat="1" ht="16.5" x14ac:dyDescent="0.25">
      <c r="A73" s="91" t="s">
        <v>3</v>
      </c>
      <c r="B73" s="7" t="s">
        <v>50</v>
      </c>
      <c r="C73" s="7" t="s">
        <v>50</v>
      </c>
      <c r="D73" s="7" t="s">
        <v>50</v>
      </c>
      <c r="E73" s="7" t="s">
        <v>43</v>
      </c>
      <c r="F73" s="7" t="s">
        <v>45</v>
      </c>
      <c r="G73" s="23" t="s">
        <v>126</v>
      </c>
      <c r="H73" s="7" t="s">
        <v>5</v>
      </c>
      <c r="I73" s="8" t="s">
        <v>6</v>
      </c>
      <c r="J73" s="44">
        <v>202620006</v>
      </c>
      <c r="K73" s="44"/>
      <c r="L73" s="44"/>
      <c r="M73" s="44">
        <f t="shared" si="33"/>
        <v>202620006</v>
      </c>
      <c r="N73" s="9">
        <v>0</v>
      </c>
      <c r="O73" s="44">
        <v>202620000</v>
      </c>
      <c r="P73" s="27">
        <f t="shared" si="34"/>
        <v>6</v>
      </c>
      <c r="Q73" s="9">
        <v>202620000</v>
      </c>
      <c r="R73" s="25">
        <f t="shared" si="17"/>
        <v>0.9999999703879191</v>
      </c>
      <c r="S73" s="9">
        <v>118051598</v>
      </c>
      <c r="T73" s="10">
        <v>118051598</v>
      </c>
    </row>
    <row r="74" spans="1:20" s="6" customFormat="1" ht="24.75" x14ac:dyDescent="0.25">
      <c r="A74" s="91" t="s">
        <v>3</v>
      </c>
      <c r="B74" s="7" t="s">
        <v>50</v>
      </c>
      <c r="C74" s="7" t="s">
        <v>50</v>
      </c>
      <c r="D74" s="7" t="s">
        <v>50</v>
      </c>
      <c r="E74" s="7" t="s">
        <v>43</v>
      </c>
      <c r="F74" s="7" t="s">
        <v>46</v>
      </c>
      <c r="G74" s="23" t="s">
        <v>127</v>
      </c>
      <c r="H74" s="7" t="s">
        <v>5</v>
      </c>
      <c r="I74" s="8" t="s">
        <v>6</v>
      </c>
      <c r="J74" s="44">
        <v>5734282670</v>
      </c>
      <c r="K74" s="44">
        <f>44585939+13500000+42046258+10000000+5000000+1259400+8000000+50000000+35000000</f>
        <v>209391597</v>
      </c>
      <c r="L74" s="44">
        <f>2500000+30000000+1100000+11011000+817800+418739038+146182615+205529415+64018336+40004212+1567106+56294+45981664+19000000+202300000+50700168.87+32328954+13000000+30000000+2170936+1135494+25000000+18500000+76406755+35000000+25000000+22731652+58702495+182046258+86910681+1064008+552606+144590+1100000+1771537+313589296</f>
        <v>2166662910.8699999</v>
      </c>
      <c r="M74" s="44">
        <f>J74+K74-L74</f>
        <v>3777011356.1300001</v>
      </c>
      <c r="N74" s="128">
        <f>M74-[1]REP_EPG034_EjecucionPresupuesta!$T$65</f>
        <v>0</v>
      </c>
      <c r="O74" s="44">
        <v>3718897972.4000001</v>
      </c>
      <c r="P74" s="27">
        <f t="shared" si="34"/>
        <v>58113383.730000019</v>
      </c>
      <c r="Q74" s="9">
        <v>3718897972.4000001</v>
      </c>
      <c r="R74" s="25">
        <f t="shared" si="17"/>
        <v>0.98461392401278236</v>
      </c>
      <c r="S74" s="9">
        <v>3718897972.4000001</v>
      </c>
      <c r="T74" s="10">
        <v>3718897972.4000001</v>
      </c>
    </row>
    <row r="75" spans="1:20" s="6" customFormat="1" ht="24.75" x14ac:dyDescent="0.25">
      <c r="A75" s="91" t="s">
        <v>3</v>
      </c>
      <c r="B75" s="7" t="s">
        <v>50</v>
      </c>
      <c r="C75" s="7" t="s">
        <v>50</v>
      </c>
      <c r="D75" s="7" t="s">
        <v>50</v>
      </c>
      <c r="E75" s="7" t="s">
        <v>43</v>
      </c>
      <c r="F75" s="7" t="s">
        <v>46</v>
      </c>
      <c r="G75" s="23" t="s">
        <v>127</v>
      </c>
      <c r="H75" s="7" t="s">
        <v>8</v>
      </c>
      <c r="I75" s="8" t="s">
        <v>9</v>
      </c>
      <c r="J75" s="44">
        <v>950000000</v>
      </c>
      <c r="K75" s="44"/>
      <c r="L75" s="44">
        <v>50000000</v>
      </c>
      <c r="M75" s="44">
        <f>J75+K75-L75</f>
        <v>900000000</v>
      </c>
      <c r="N75" s="9">
        <v>0</v>
      </c>
      <c r="O75" s="44">
        <v>900000000</v>
      </c>
      <c r="P75" s="27">
        <f t="shared" si="34"/>
        <v>0</v>
      </c>
      <c r="Q75" s="9">
        <v>900000000</v>
      </c>
      <c r="R75" s="25">
        <f t="shared" si="17"/>
        <v>1</v>
      </c>
      <c r="S75" s="9">
        <v>900000000</v>
      </c>
      <c r="T75" s="10">
        <v>900000000</v>
      </c>
    </row>
    <row r="76" spans="1:20" s="6" customFormat="1" ht="24.75" x14ac:dyDescent="0.25">
      <c r="A76" s="91" t="s">
        <v>3</v>
      </c>
      <c r="B76" s="7" t="s">
        <v>50</v>
      </c>
      <c r="C76" s="7" t="s">
        <v>50</v>
      </c>
      <c r="D76" s="7" t="s">
        <v>50</v>
      </c>
      <c r="E76" s="7" t="s">
        <v>43</v>
      </c>
      <c r="F76" s="7" t="s">
        <v>46</v>
      </c>
      <c r="G76" s="23" t="s">
        <v>127</v>
      </c>
      <c r="H76" s="7" t="s">
        <v>8</v>
      </c>
      <c r="I76" s="8">
        <v>21</v>
      </c>
      <c r="J76" s="44">
        <v>475113000</v>
      </c>
      <c r="K76" s="44"/>
      <c r="L76" s="44"/>
      <c r="M76" s="44">
        <f t="shared" si="33"/>
        <v>475113000</v>
      </c>
      <c r="N76" s="9">
        <v>0</v>
      </c>
      <c r="O76" s="44">
        <v>475113000</v>
      </c>
      <c r="P76" s="27">
        <f t="shared" si="34"/>
        <v>0</v>
      </c>
      <c r="Q76" s="9">
        <v>475113000</v>
      </c>
      <c r="R76" s="25">
        <f t="shared" si="17"/>
        <v>1</v>
      </c>
      <c r="S76" s="9">
        <v>475113000</v>
      </c>
      <c r="T76" s="10">
        <v>475113000</v>
      </c>
    </row>
    <row r="77" spans="1:20" s="6" customFormat="1" ht="16.5" x14ac:dyDescent="0.25">
      <c r="A77" s="91" t="s">
        <v>3</v>
      </c>
      <c r="B77" s="7" t="s">
        <v>50</v>
      </c>
      <c r="C77" s="7" t="s">
        <v>50</v>
      </c>
      <c r="D77" s="7" t="s">
        <v>50</v>
      </c>
      <c r="E77" s="7" t="s">
        <v>44</v>
      </c>
      <c r="F77" s="7" t="s">
        <v>35</v>
      </c>
      <c r="G77" s="23" t="s">
        <v>128</v>
      </c>
      <c r="H77" s="7" t="s">
        <v>5</v>
      </c>
      <c r="I77" s="8" t="s">
        <v>6</v>
      </c>
      <c r="J77" s="44">
        <v>5439474317</v>
      </c>
      <c r="K77" s="44"/>
      <c r="L77" s="44">
        <f>391500+511118+268682+45872124</f>
        <v>47043424</v>
      </c>
      <c r="M77" s="44">
        <f t="shared" si="33"/>
        <v>5392430893</v>
      </c>
      <c r="N77" s="9">
        <v>0</v>
      </c>
      <c r="O77" s="44">
        <v>5391254134.4799995</v>
      </c>
      <c r="P77" s="27">
        <f t="shared" si="34"/>
        <v>1176758.5200004578</v>
      </c>
      <c r="Q77" s="9">
        <v>5391254134.4799995</v>
      </c>
      <c r="R77" s="25">
        <f t="shared" si="17"/>
        <v>0.99978177587374772</v>
      </c>
      <c r="S77" s="9">
        <v>5390324992</v>
      </c>
      <c r="T77" s="10">
        <v>5390324992</v>
      </c>
    </row>
    <row r="78" spans="1:20" s="6" customFormat="1" x14ac:dyDescent="0.25">
      <c r="A78" s="91" t="s">
        <v>3</v>
      </c>
      <c r="B78" s="7" t="s">
        <v>50</v>
      </c>
      <c r="C78" s="7" t="s">
        <v>50</v>
      </c>
      <c r="D78" s="7" t="s">
        <v>50</v>
      </c>
      <c r="E78" s="7" t="s">
        <v>44</v>
      </c>
      <c r="F78" s="65" t="s">
        <v>37</v>
      </c>
      <c r="G78" s="23" t="s">
        <v>129</v>
      </c>
      <c r="H78" s="7" t="s">
        <v>5</v>
      </c>
      <c r="I78" s="8" t="s">
        <v>6</v>
      </c>
      <c r="J78" s="44">
        <v>2697677288</v>
      </c>
      <c r="K78" s="44"/>
      <c r="L78" s="44">
        <f>4543116+24559099</f>
        <v>29102215</v>
      </c>
      <c r="M78" s="44">
        <f t="shared" si="33"/>
        <v>2668575073</v>
      </c>
      <c r="N78" s="9">
        <v>0</v>
      </c>
      <c r="O78" s="44">
        <v>2668575073</v>
      </c>
      <c r="P78" s="27">
        <f t="shared" si="34"/>
        <v>0</v>
      </c>
      <c r="Q78" s="9">
        <v>2668575073</v>
      </c>
      <c r="R78" s="25">
        <f t="shared" si="17"/>
        <v>1</v>
      </c>
      <c r="S78" s="9">
        <v>2635977378.5</v>
      </c>
      <c r="T78" s="10">
        <v>2635977378.5</v>
      </c>
    </row>
    <row r="79" spans="1:20" s="6" customFormat="1" ht="16.5" x14ac:dyDescent="0.25">
      <c r="A79" s="91" t="s">
        <v>3</v>
      </c>
      <c r="B79" s="7" t="s">
        <v>50</v>
      </c>
      <c r="C79" s="7" t="s">
        <v>50</v>
      </c>
      <c r="D79" s="7" t="s">
        <v>50</v>
      </c>
      <c r="E79" s="7" t="s">
        <v>45</v>
      </c>
      <c r="F79" s="7" t="s">
        <v>37</v>
      </c>
      <c r="G79" s="107" t="s">
        <v>130</v>
      </c>
      <c r="H79" s="7" t="s">
        <v>5</v>
      </c>
      <c r="I79" s="8" t="s">
        <v>6</v>
      </c>
      <c r="J79" s="44">
        <v>70000</v>
      </c>
      <c r="K79" s="44">
        <f>98400000+500000</f>
        <v>98900000</v>
      </c>
      <c r="L79" s="44">
        <f>90000+70000+2358200</f>
        <v>2518200</v>
      </c>
      <c r="M79" s="44">
        <f t="shared" si="33"/>
        <v>96451800</v>
      </c>
      <c r="N79" s="9"/>
      <c r="O79" s="44">
        <v>90451800</v>
      </c>
      <c r="P79" s="27">
        <f t="shared" si="34"/>
        <v>6000000</v>
      </c>
      <c r="Q79" s="9">
        <v>90451800</v>
      </c>
      <c r="R79" s="25">
        <f t="shared" si="17"/>
        <v>0.93779276281002533</v>
      </c>
      <c r="S79" s="9">
        <v>90451800</v>
      </c>
      <c r="T79" s="10">
        <v>90451800</v>
      </c>
    </row>
    <row r="80" spans="1:20" s="6" customFormat="1" ht="41.25" x14ac:dyDescent="0.25">
      <c r="A80" s="91" t="s">
        <v>3</v>
      </c>
      <c r="B80" s="7" t="s">
        <v>50</v>
      </c>
      <c r="C80" s="7" t="s">
        <v>50</v>
      </c>
      <c r="D80" s="7" t="s">
        <v>50</v>
      </c>
      <c r="E80" s="7" t="s">
        <v>45</v>
      </c>
      <c r="F80" s="7" t="s">
        <v>39</v>
      </c>
      <c r="G80" s="23" t="s">
        <v>141</v>
      </c>
      <c r="H80" s="7" t="s">
        <v>5</v>
      </c>
      <c r="I80" s="8" t="s">
        <v>6</v>
      </c>
      <c r="J80" s="44">
        <v>6395104796</v>
      </c>
      <c r="K80" s="44">
        <f>2500000+13808036+1850674+1347784+666729+12385472+107150363+13997771+29523000+10500000+1760274+504736</f>
        <v>195994839</v>
      </c>
      <c r="L80" s="44">
        <f>8701011.61+102410000+98400000+11923800+46000000+412350191+1155658299+1311507044+4261856+350628000+2984472+3435200+317170+15700+15767699+10000000+42046258+12000000+21000000</f>
        <v>3609406700.6100001</v>
      </c>
      <c r="M80" s="44">
        <f>J80+K80-L80</f>
        <v>2981692934.3899999</v>
      </c>
      <c r="N80" s="108">
        <f>M80-[1]REP_EPG034_EjecucionPresupuesta!$T$72</f>
        <v>0</v>
      </c>
      <c r="O80" s="44">
        <v>2980049027</v>
      </c>
      <c r="P80" s="27">
        <f t="shared" si="34"/>
        <v>1643907.3899998665</v>
      </c>
      <c r="Q80" s="9">
        <v>2980049027</v>
      </c>
      <c r="R80" s="25">
        <f t="shared" si="17"/>
        <v>0.99944866643676167</v>
      </c>
      <c r="S80" s="9">
        <v>2828992045</v>
      </c>
      <c r="T80" s="10">
        <v>2828992045</v>
      </c>
    </row>
    <row r="81" spans="1:259" s="6" customFormat="1" ht="33" x14ac:dyDescent="0.25">
      <c r="A81" s="91" t="s">
        <v>3</v>
      </c>
      <c r="B81" s="7" t="s">
        <v>50</v>
      </c>
      <c r="C81" s="7" t="s">
        <v>50</v>
      </c>
      <c r="D81" s="7" t="s">
        <v>50</v>
      </c>
      <c r="E81" s="7" t="s">
        <v>45</v>
      </c>
      <c r="F81" s="7" t="s">
        <v>40</v>
      </c>
      <c r="G81" s="23" t="s">
        <v>131</v>
      </c>
      <c r="H81" s="7" t="s">
        <v>5</v>
      </c>
      <c r="I81" s="8" t="s">
        <v>6</v>
      </c>
      <c r="J81" s="44">
        <v>200840908</v>
      </c>
      <c r="K81" s="44">
        <f>30000000+20000000+1100000</f>
        <v>51100000</v>
      </c>
      <c r="L81" s="44">
        <f>22000000+15000000+217490+2000000+6129064+8000000+500000+600000+25497418+527288+4200000</f>
        <v>84671260</v>
      </c>
      <c r="M81" s="44">
        <f t="shared" si="33"/>
        <v>167269648</v>
      </c>
      <c r="N81" s="128">
        <f>M81-[1]REP_EPG034_EjecucionPresupuesta!$T$73</f>
        <v>0</v>
      </c>
      <c r="O81" s="44">
        <v>157513427.77000001</v>
      </c>
      <c r="P81" s="27">
        <f t="shared" si="34"/>
        <v>9756220.2299999893</v>
      </c>
      <c r="Q81" s="9">
        <v>157513427.77000001</v>
      </c>
      <c r="R81" s="25">
        <f t="shared" si="17"/>
        <v>0.94167369665296363</v>
      </c>
      <c r="S81" s="9">
        <v>157513427.77000001</v>
      </c>
      <c r="T81" s="10">
        <v>157513427.77000001</v>
      </c>
    </row>
    <row r="82" spans="1:259" s="6" customFormat="1" x14ac:dyDescent="0.25">
      <c r="A82" s="91" t="s">
        <v>3</v>
      </c>
      <c r="B82" s="7" t="s">
        <v>50</v>
      </c>
      <c r="C82" s="7" t="s">
        <v>50</v>
      </c>
      <c r="D82" s="7" t="s">
        <v>50</v>
      </c>
      <c r="E82" s="7" t="s">
        <v>45</v>
      </c>
      <c r="F82" s="7" t="s">
        <v>42</v>
      </c>
      <c r="G82" s="23" t="s">
        <v>132</v>
      </c>
      <c r="H82" s="7" t="s">
        <v>5</v>
      </c>
      <c r="I82" s="8" t="s">
        <v>6</v>
      </c>
      <c r="J82" s="44">
        <v>17226804360</v>
      </c>
      <c r="K82" s="44">
        <f>202300000+4621000000</f>
        <v>4823300000</v>
      </c>
      <c r="L82" s="44">
        <f>31751709.15+30311311+13078328+98405831+1500000+17523133+30000000+173144515+12067073+28395420+79502777+5000000+3593000000+8905067</f>
        <v>4122585164.1500001</v>
      </c>
      <c r="M82" s="44">
        <f t="shared" ref="M82:M88" si="41">J82+K82-L82</f>
        <v>17927519195.849998</v>
      </c>
      <c r="N82" s="128">
        <f>M82-[1]REP_EPG034_EjecucionPresupuesta!$T$74</f>
        <v>0</v>
      </c>
      <c r="O82" s="44">
        <v>16899519192.84</v>
      </c>
      <c r="P82" s="27">
        <f t="shared" si="34"/>
        <v>1028000003.0099983</v>
      </c>
      <c r="Q82" s="9">
        <v>16899519192.84</v>
      </c>
      <c r="R82" s="25">
        <f t="shared" si="17"/>
        <v>0.94265798899560138</v>
      </c>
      <c r="S82" s="9">
        <v>15133423058</v>
      </c>
      <c r="T82" s="10">
        <v>15133423058</v>
      </c>
    </row>
    <row r="83" spans="1:259" s="6" customFormat="1" ht="33" x14ac:dyDescent="0.25">
      <c r="A83" s="91" t="s">
        <v>3</v>
      </c>
      <c r="B83" s="7" t="s">
        <v>50</v>
      </c>
      <c r="C83" s="7" t="s">
        <v>50</v>
      </c>
      <c r="D83" s="7" t="s">
        <v>50</v>
      </c>
      <c r="E83" s="7" t="s">
        <v>45</v>
      </c>
      <c r="F83" s="7" t="s">
        <v>44</v>
      </c>
      <c r="G83" s="23" t="s">
        <v>133</v>
      </c>
      <c r="H83" s="7" t="s">
        <v>5</v>
      </c>
      <c r="I83" s="63" t="s">
        <v>6</v>
      </c>
      <c r="J83" s="127">
        <v>4204679271</v>
      </c>
      <c r="K83" s="44">
        <f>729430.17+1076970+817800+80000000+4236096+191531644+2740117+35064506+81124247+2000000+1135494+474923+5000000+4138491</f>
        <v>410069718.17000002</v>
      </c>
      <c r="L83" s="44">
        <f>8520080+496000000+38200548+1769586+2043349+64000000+1850674+406500000+29302787+120000000+4425865+4710000+670000000+20921616+218500000+10500000+666729+6500000+1956000+10000000+430000000+116949427+24085405+23903000+3250000+181982984+17056263+14723660+9891010+324707200+9743000+49911800+64010000+47132626+92346156+50401916+65862026+90466422+1459750+4739843+300000+5201624+4358597</f>
        <v>3748849943</v>
      </c>
      <c r="M83" s="44">
        <f t="shared" si="41"/>
        <v>865899046.17000008</v>
      </c>
      <c r="N83" s="128">
        <f>M83-[1]REP_EPG034_EjecucionPresupuesta!$T$75</f>
        <v>0</v>
      </c>
      <c r="O83" s="44">
        <v>848944706.40999997</v>
      </c>
      <c r="P83" s="27">
        <f t="shared" si="34"/>
        <v>16954339.76000011</v>
      </c>
      <c r="Q83" s="9">
        <v>848944706.40999997</v>
      </c>
      <c r="R83" s="25">
        <f t="shared" si="17"/>
        <v>0.98041995792120151</v>
      </c>
      <c r="S83" s="9">
        <v>226671975.38</v>
      </c>
      <c r="T83" s="10">
        <v>226671975.38</v>
      </c>
    </row>
    <row r="84" spans="1:259" s="6" customFormat="1" ht="24.75" x14ac:dyDescent="0.25">
      <c r="A84" s="91" t="s">
        <v>3</v>
      </c>
      <c r="B84" s="7" t="s">
        <v>50</v>
      </c>
      <c r="C84" s="7" t="s">
        <v>50</v>
      </c>
      <c r="D84" s="7" t="s">
        <v>50</v>
      </c>
      <c r="E84" s="7" t="s">
        <v>46</v>
      </c>
      <c r="F84" s="7" t="s">
        <v>39</v>
      </c>
      <c r="G84" s="23" t="s">
        <v>134</v>
      </c>
      <c r="H84" s="7" t="s">
        <v>5</v>
      </c>
      <c r="I84" s="8" t="s">
        <v>6</v>
      </c>
      <c r="J84" s="44">
        <v>441869750</v>
      </c>
      <c r="K84" s="44">
        <f>14306802+50000000+5860016+39032252+37669144+41149000+511118</f>
        <v>188528332</v>
      </c>
      <c r="L84" s="44">
        <f>49570107+22013500+539000+2077309+27977268+16454414+1000000+706728+973117+6000+2214000</f>
        <v>123531443</v>
      </c>
      <c r="M84" s="44">
        <f t="shared" si="41"/>
        <v>506866639</v>
      </c>
      <c r="N84" s="9">
        <v>0</v>
      </c>
      <c r="O84" s="44">
        <v>481369398</v>
      </c>
      <c r="P84" s="27">
        <f t="shared" si="34"/>
        <v>25497241</v>
      </c>
      <c r="Q84" s="9">
        <v>481369398</v>
      </c>
      <c r="R84" s="25">
        <f t="shared" si="17"/>
        <v>0.94969635198263658</v>
      </c>
      <c r="S84" s="9">
        <v>99530050</v>
      </c>
      <c r="T84" s="10">
        <v>99530050</v>
      </c>
    </row>
    <row r="85" spans="1:259" s="6" customFormat="1" ht="41.25" x14ac:dyDescent="0.25">
      <c r="A85" s="91" t="s">
        <v>3</v>
      </c>
      <c r="B85" s="7" t="s">
        <v>50</v>
      </c>
      <c r="C85" s="7" t="s">
        <v>50</v>
      </c>
      <c r="D85" s="7" t="s">
        <v>50</v>
      </c>
      <c r="E85" s="7" t="s">
        <v>46</v>
      </c>
      <c r="F85" s="7" t="s">
        <v>40</v>
      </c>
      <c r="G85" s="23" t="s">
        <v>135</v>
      </c>
      <c r="H85" s="7" t="s">
        <v>5</v>
      </c>
      <c r="I85" s="8" t="s">
        <v>6</v>
      </c>
      <c r="J85" s="44">
        <v>815493307</v>
      </c>
      <c r="K85" s="44">
        <f>10000000+22000000+12200000+20000000+19000000+15000000+13000000+3000000+25000000+3219000+2005350+5000000+2656172+1321646+144590+200000+5000000</f>
        <v>158746758</v>
      </c>
      <c r="L85" s="44">
        <f>98200598+258273+5000000+641158+40000000+6500000+584376</f>
        <v>151184405</v>
      </c>
      <c r="M85" s="44">
        <f t="shared" si="41"/>
        <v>823055660</v>
      </c>
      <c r="N85" s="128">
        <f>M85+-[1]REP_EPG034_EjecucionPresupuesta!$T$77</f>
        <v>0</v>
      </c>
      <c r="O85" s="44">
        <v>805735705.35000002</v>
      </c>
      <c r="P85" s="27">
        <f t="shared" si="34"/>
        <v>17319954.649999976</v>
      </c>
      <c r="Q85" s="9">
        <v>805735705.35000002</v>
      </c>
      <c r="R85" s="25">
        <f t="shared" si="17"/>
        <v>0.9789565208141574</v>
      </c>
      <c r="S85" s="9">
        <v>748561660.55999994</v>
      </c>
      <c r="T85" s="10">
        <v>748561660.55999994</v>
      </c>
    </row>
    <row r="86" spans="1:259" s="6" customFormat="1" ht="16.5" x14ac:dyDescent="0.25">
      <c r="A86" s="91" t="s">
        <v>3</v>
      </c>
      <c r="B86" s="7" t="s">
        <v>50</v>
      </c>
      <c r="C86" s="7" t="s">
        <v>50</v>
      </c>
      <c r="D86" s="7" t="s">
        <v>50</v>
      </c>
      <c r="E86" s="7" t="s">
        <v>46</v>
      </c>
      <c r="F86" s="65" t="s">
        <v>43</v>
      </c>
      <c r="G86" s="23" t="s">
        <v>142</v>
      </c>
      <c r="H86" s="7" t="s">
        <v>5</v>
      </c>
      <c r="I86" s="8" t="s">
        <v>6</v>
      </c>
      <c r="J86" s="44">
        <v>786597200</v>
      </c>
      <c r="K86" s="44">
        <f>1514800+1956000+11451971+737800+107800</f>
        <v>15768371</v>
      </c>
      <c r="L86" s="44">
        <f>50000000+9048000+67000+2831671+8000000</f>
        <v>69946671</v>
      </c>
      <c r="M86" s="44">
        <f t="shared" si="41"/>
        <v>732418900</v>
      </c>
      <c r="N86" s="128">
        <f>M86-[1]REP_EPG034_EjecucionPresupuesta!$T$78</f>
        <v>0</v>
      </c>
      <c r="O86" s="44">
        <v>732127500</v>
      </c>
      <c r="P86" s="27">
        <f t="shared" si="34"/>
        <v>291400</v>
      </c>
      <c r="Q86" s="9">
        <v>732127500</v>
      </c>
      <c r="R86" s="25">
        <f t="shared" si="17"/>
        <v>0.99960214025061345</v>
      </c>
      <c r="S86" s="9">
        <v>610329300</v>
      </c>
      <c r="T86" s="10">
        <v>610329300</v>
      </c>
      <c r="BD86" s="6">
        <v>408287880</v>
      </c>
      <c r="BE86" s="6">
        <v>408287880</v>
      </c>
      <c r="BF86" s="6">
        <v>408287880</v>
      </c>
      <c r="BG86" s="6">
        <v>408287880</v>
      </c>
      <c r="BH86" s="6">
        <v>408287880</v>
      </c>
      <c r="BI86" s="6">
        <v>408287880</v>
      </c>
      <c r="BJ86" s="6">
        <v>408287880</v>
      </c>
      <c r="BK86" s="6">
        <v>408287880</v>
      </c>
      <c r="BL86" s="6">
        <v>408287880</v>
      </c>
      <c r="BM86" s="6">
        <v>408287880</v>
      </c>
      <c r="BN86" s="6">
        <v>408287880</v>
      </c>
      <c r="BO86" s="6">
        <v>408287880</v>
      </c>
      <c r="BP86" s="6">
        <v>408287880</v>
      </c>
      <c r="BQ86" s="6">
        <v>408287880</v>
      </c>
      <c r="BR86" s="6">
        <v>408287880</v>
      </c>
      <c r="BS86" s="6">
        <v>408287880</v>
      </c>
      <c r="BT86" s="6">
        <v>408287880</v>
      </c>
      <c r="BU86" s="6">
        <v>408287880</v>
      </c>
      <c r="BV86" s="6">
        <v>408287880</v>
      </c>
      <c r="BW86" s="6">
        <v>408287880</v>
      </c>
      <c r="BX86" s="6">
        <v>408287880</v>
      </c>
      <c r="BY86" s="6">
        <v>408287880</v>
      </c>
      <c r="BZ86" s="6">
        <v>408287880</v>
      </c>
      <c r="CA86" s="6">
        <v>408287880</v>
      </c>
      <c r="CB86" s="6">
        <v>408287880</v>
      </c>
      <c r="CC86" s="6">
        <v>408287880</v>
      </c>
      <c r="CD86" s="6">
        <v>408287880</v>
      </c>
      <c r="CE86" s="6">
        <v>408287880</v>
      </c>
      <c r="CF86" s="6">
        <v>408287880</v>
      </c>
      <c r="CG86" s="6">
        <v>408287880</v>
      </c>
      <c r="CH86" s="6">
        <v>408287880</v>
      </c>
      <c r="CI86" s="6">
        <v>408287880</v>
      </c>
      <c r="CJ86" s="6">
        <v>408287880</v>
      </c>
      <c r="CK86" s="6">
        <v>408287880</v>
      </c>
      <c r="CL86" s="6">
        <v>408287880</v>
      </c>
      <c r="CM86" s="6">
        <v>408287880</v>
      </c>
      <c r="CN86" s="6">
        <v>408287880</v>
      </c>
      <c r="CO86" s="6">
        <v>408287880</v>
      </c>
      <c r="CP86" s="6">
        <v>408287880</v>
      </c>
      <c r="CQ86" s="6">
        <v>408287880</v>
      </c>
      <c r="CR86" s="6">
        <v>408287880</v>
      </c>
      <c r="CS86" s="6">
        <v>408287880</v>
      </c>
      <c r="CT86" s="6">
        <v>408287880</v>
      </c>
      <c r="CU86" s="6">
        <v>408287880</v>
      </c>
      <c r="CV86" s="6">
        <v>408287880</v>
      </c>
      <c r="CW86" s="6">
        <v>408287880</v>
      </c>
      <c r="CX86" s="6">
        <v>408287880</v>
      </c>
      <c r="CY86" s="6">
        <v>408287880</v>
      </c>
      <c r="CZ86" s="6">
        <v>408287880</v>
      </c>
      <c r="DA86" s="6">
        <v>408287880</v>
      </c>
      <c r="DB86" s="6">
        <v>408287880</v>
      </c>
      <c r="DC86" s="6">
        <v>408287880</v>
      </c>
      <c r="DD86" s="6">
        <v>408287880</v>
      </c>
      <c r="DE86" s="6">
        <v>408287880</v>
      </c>
      <c r="DF86" s="6">
        <v>408287880</v>
      </c>
      <c r="DG86" s="6">
        <v>408287880</v>
      </c>
      <c r="DH86" s="6">
        <v>408287880</v>
      </c>
      <c r="DI86" s="6">
        <v>408287880</v>
      </c>
      <c r="DJ86" s="6">
        <v>408287880</v>
      </c>
      <c r="DK86" s="6">
        <v>408287880</v>
      </c>
      <c r="DL86" s="6">
        <v>408287880</v>
      </c>
      <c r="DM86" s="6">
        <v>408287880</v>
      </c>
      <c r="DN86" s="6">
        <v>408287880</v>
      </c>
      <c r="DO86" s="6">
        <v>408287880</v>
      </c>
      <c r="DP86" s="6">
        <v>408287880</v>
      </c>
      <c r="DQ86" s="6">
        <v>408287880</v>
      </c>
      <c r="DR86" s="6">
        <v>408287880</v>
      </c>
      <c r="DS86" s="6">
        <v>408287880</v>
      </c>
      <c r="DT86" s="6">
        <v>408287880</v>
      </c>
      <c r="DU86" s="6">
        <v>408287880</v>
      </c>
      <c r="DV86" s="6">
        <v>408287880</v>
      </c>
      <c r="DW86" s="6">
        <v>408287880</v>
      </c>
      <c r="DX86" s="6">
        <v>408287880</v>
      </c>
      <c r="DY86" s="6">
        <v>408287880</v>
      </c>
      <c r="DZ86" s="6">
        <v>408287880</v>
      </c>
      <c r="EA86" s="6">
        <v>408287880</v>
      </c>
      <c r="EB86" s="6">
        <v>408287880</v>
      </c>
      <c r="EC86" s="6">
        <v>408287880</v>
      </c>
      <c r="ED86" s="6">
        <v>408287880</v>
      </c>
      <c r="EE86" s="6">
        <v>408287880</v>
      </c>
      <c r="EF86" s="6">
        <v>408287880</v>
      </c>
      <c r="EG86" s="6">
        <v>408287880</v>
      </c>
      <c r="EH86" s="6">
        <v>408287880</v>
      </c>
      <c r="EI86" s="6">
        <v>408287880</v>
      </c>
      <c r="EJ86" s="6">
        <v>408287880</v>
      </c>
      <c r="EK86" s="6">
        <v>408287880</v>
      </c>
      <c r="EL86" s="6">
        <v>408287880</v>
      </c>
      <c r="EM86" s="6">
        <v>408287880</v>
      </c>
      <c r="EN86" s="6">
        <v>408287880</v>
      </c>
      <c r="EO86" s="6">
        <v>408287880</v>
      </c>
      <c r="EP86" s="6">
        <v>408287880</v>
      </c>
      <c r="EQ86" s="6">
        <v>408287880</v>
      </c>
      <c r="ER86" s="6">
        <v>408287880</v>
      </c>
      <c r="ES86" s="6">
        <v>408287880</v>
      </c>
      <c r="ET86" s="6">
        <v>408287880</v>
      </c>
      <c r="EU86" s="6">
        <v>408287880</v>
      </c>
      <c r="EV86" s="6">
        <v>408287880</v>
      </c>
      <c r="EW86" s="6">
        <v>408287880</v>
      </c>
      <c r="EX86" s="6">
        <v>408287880</v>
      </c>
      <c r="EY86" s="6">
        <v>408287880</v>
      </c>
      <c r="EZ86" s="6">
        <v>408287880</v>
      </c>
      <c r="FA86" s="6">
        <v>408287880</v>
      </c>
      <c r="FB86" s="6">
        <v>408287880</v>
      </c>
      <c r="FC86" s="6">
        <v>408287880</v>
      </c>
      <c r="FD86" s="6">
        <v>408287880</v>
      </c>
      <c r="FE86" s="6">
        <v>408287880</v>
      </c>
      <c r="FF86" s="6">
        <v>408287880</v>
      </c>
      <c r="FG86" s="6">
        <v>408287880</v>
      </c>
      <c r="FH86" s="6">
        <v>408287880</v>
      </c>
      <c r="FI86" s="6">
        <v>408287880</v>
      </c>
      <c r="FJ86" s="6">
        <v>408287880</v>
      </c>
      <c r="FK86" s="6">
        <v>408287880</v>
      </c>
      <c r="FL86" s="6">
        <v>408287880</v>
      </c>
      <c r="FM86" s="6">
        <v>408287880</v>
      </c>
      <c r="FN86" s="6">
        <v>408287880</v>
      </c>
      <c r="FO86" s="6">
        <v>408287880</v>
      </c>
      <c r="FP86" s="6">
        <v>408287880</v>
      </c>
      <c r="FQ86" s="6">
        <v>408287880</v>
      </c>
      <c r="FR86" s="6">
        <v>408287880</v>
      </c>
      <c r="FS86" s="6">
        <v>408287880</v>
      </c>
      <c r="FT86" s="6">
        <v>408287880</v>
      </c>
      <c r="FU86" s="6">
        <v>408287880</v>
      </c>
      <c r="FV86" s="6">
        <v>408287880</v>
      </c>
      <c r="FW86" s="6">
        <v>408287880</v>
      </c>
      <c r="FX86" s="6">
        <v>408287880</v>
      </c>
      <c r="FY86" s="6">
        <v>408287880</v>
      </c>
      <c r="FZ86" s="6">
        <v>408287880</v>
      </c>
      <c r="GA86" s="6">
        <v>408287880</v>
      </c>
      <c r="GB86" s="6">
        <v>408287880</v>
      </c>
      <c r="GC86" s="6">
        <v>408287880</v>
      </c>
      <c r="GD86" s="6">
        <v>408287880</v>
      </c>
      <c r="GE86" s="6">
        <v>408287880</v>
      </c>
      <c r="GF86" s="6">
        <v>408287880</v>
      </c>
      <c r="GG86" s="6">
        <v>408287880</v>
      </c>
      <c r="GH86" s="6">
        <v>408287880</v>
      </c>
      <c r="GI86" s="6">
        <v>408287880</v>
      </c>
      <c r="GJ86" s="6">
        <v>408287880</v>
      </c>
      <c r="GK86" s="6">
        <v>408287880</v>
      </c>
      <c r="GL86" s="6">
        <v>408287880</v>
      </c>
      <c r="GM86" s="6">
        <v>408287880</v>
      </c>
      <c r="GN86" s="6">
        <v>408287880</v>
      </c>
      <c r="GO86" s="6">
        <v>408287880</v>
      </c>
      <c r="GP86" s="6">
        <v>408287880</v>
      </c>
      <c r="GQ86" s="6">
        <v>408287880</v>
      </c>
      <c r="GR86" s="6">
        <v>408287880</v>
      </c>
      <c r="GS86" s="6">
        <v>408287880</v>
      </c>
      <c r="GT86" s="6">
        <v>408287880</v>
      </c>
      <c r="GU86" s="6">
        <v>408287880</v>
      </c>
      <c r="GV86" s="6">
        <v>408287880</v>
      </c>
      <c r="GW86" s="6">
        <v>408287880</v>
      </c>
      <c r="GX86" s="6">
        <v>408287880</v>
      </c>
      <c r="GY86" s="6">
        <v>408287880</v>
      </c>
      <c r="GZ86" s="6">
        <v>408287880</v>
      </c>
      <c r="HA86" s="6">
        <v>408287880</v>
      </c>
      <c r="HB86" s="6">
        <v>408287880</v>
      </c>
      <c r="HC86" s="6">
        <v>408287880</v>
      </c>
      <c r="HD86" s="6">
        <v>408287880</v>
      </c>
      <c r="HE86" s="6">
        <v>408287880</v>
      </c>
      <c r="HF86" s="6">
        <v>408287880</v>
      </c>
      <c r="HG86" s="6">
        <v>408287880</v>
      </c>
      <c r="HH86" s="6">
        <v>408287880</v>
      </c>
      <c r="HI86" s="6">
        <v>408287880</v>
      </c>
      <c r="HJ86" s="6">
        <v>408287880</v>
      </c>
      <c r="HK86" s="6">
        <v>408287880</v>
      </c>
      <c r="HL86" s="6">
        <v>408287880</v>
      </c>
      <c r="HM86" s="6">
        <v>408287880</v>
      </c>
      <c r="HN86" s="6">
        <v>408287880</v>
      </c>
      <c r="HO86" s="6">
        <v>408287880</v>
      </c>
      <c r="HP86" s="6">
        <v>408287880</v>
      </c>
      <c r="HQ86" s="6">
        <v>408287880</v>
      </c>
      <c r="HR86" s="6">
        <v>408287880</v>
      </c>
      <c r="HS86" s="6">
        <v>408287880</v>
      </c>
      <c r="HT86" s="6">
        <v>408287880</v>
      </c>
      <c r="HU86" s="6">
        <v>408287880</v>
      </c>
      <c r="HV86" s="6">
        <v>408287880</v>
      </c>
      <c r="HW86" s="6">
        <v>408287880</v>
      </c>
      <c r="HX86" s="6">
        <v>408287880</v>
      </c>
      <c r="HY86" s="6">
        <v>408287880</v>
      </c>
      <c r="HZ86" s="6">
        <v>408287880</v>
      </c>
      <c r="IA86" s="6">
        <v>408287880</v>
      </c>
      <c r="IB86" s="6">
        <v>408287880</v>
      </c>
      <c r="IC86" s="6">
        <v>408287880</v>
      </c>
      <c r="ID86" s="6">
        <v>408287880</v>
      </c>
      <c r="IE86" s="6">
        <v>408287880</v>
      </c>
      <c r="IF86" s="6">
        <v>408287880</v>
      </c>
      <c r="IG86" s="6">
        <v>408287880</v>
      </c>
      <c r="IH86" s="6">
        <v>408287880</v>
      </c>
      <c r="II86" s="6">
        <v>408287880</v>
      </c>
      <c r="IJ86" s="6">
        <v>408287880</v>
      </c>
      <c r="IK86" s="6">
        <v>408287880</v>
      </c>
      <c r="IL86" s="6">
        <v>408287880</v>
      </c>
      <c r="IM86" s="6">
        <v>408287880</v>
      </c>
      <c r="IN86" s="6">
        <v>408287880</v>
      </c>
      <c r="IO86" s="6">
        <v>408287880</v>
      </c>
      <c r="IP86" s="6">
        <v>408287880</v>
      </c>
      <c r="IQ86" s="6">
        <v>408287880</v>
      </c>
      <c r="IR86" s="6">
        <v>408287880</v>
      </c>
      <c r="IS86" s="6">
        <v>408287880</v>
      </c>
      <c r="IT86" s="6">
        <v>408287880</v>
      </c>
      <c r="IU86" s="6">
        <v>408287880</v>
      </c>
      <c r="IV86" s="6">
        <v>408287880</v>
      </c>
      <c r="IW86" s="6">
        <v>408287880</v>
      </c>
      <c r="IX86" s="6">
        <v>408287880</v>
      </c>
      <c r="IY86" s="6">
        <v>408287880</v>
      </c>
    </row>
    <row r="87" spans="1:259" s="6" customFormat="1" ht="16.5" x14ac:dyDescent="0.25">
      <c r="A87" s="91" t="s">
        <v>3</v>
      </c>
      <c r="B87" s="7" t="s">
        <v>50</v>
      </c>
      <c r="C87" s="7" t="s">
        <v>50</v>
      </c>
      <c r="D87" s="7" t="s">
        <v>50</v>
      </c>
      <c r="E87" s="7" t="s">
        <v>46</v>
      </c>
      <c r="F87" s="65" t="s">
        <v>43</v>
      </c>
      <c r="G87" s="23" t="s">
        <v>142</v>
      </c>
      <c r="H87" s="7" t="s">
        <v>5</v>
      </c>
      <c r="I87" s="8">
        <v>20</v>
      </c>
      <c r="J87" s="44">
        <v>0</v>
      </c>
      <c r="K87" s="44">
        <f>50000000</f>
        <v>50000000</v>
      </c>
      <c r="L87" s="44"/>
      <c r="M87" s="44">
        <f t="shared" si="41"/>
        <v>50000000</v>
      </c>
      <c r="N87" s="9">
        <v>0</v>
      </c>
      <c r="O87" s="44">
        <v>50000000</v>
      </c>
      <c r="P87" s="27">
        <f t="shared" ref="P87" si="42">+M87-O87-N87</f>
        <v>0</v>
      </c>
      <c r="Q87" s="9">
        <v>50000000</v>
      </c>
      <c r="R87" s="25">
        <f t="shared" ref="R87" si="43">IF(Q87&gt;1,Q87/(M87),0)</f>
        <v>1</v>
      </c>
      <c r="S87" s="9">
        <v>11415000</v>
      </c>
      <c r="T87" s="10">
        <v>11415000</v>
      </c>
    </row>
    <row r="88" spans="1:259" s="6" customFormat="1" ht="16.5" x14ac:dyDescent="0.25">
      <c r="A88" s="91" t="s">
        <v>3</v>
      </c>
      <c r="B88" s="7" t="s">
        <v>50</v>
      </c>
      <c r="C88" s="7" t="s">
        <v>50</v>
      </c>
      <c r="D88" s="7" t="s">
        <v>50</v>
      </c>
      <c r="E88" s="7" t="s">
        <v>47</v>
      </c>
      <c r="F88" s="7"/>
      <c r="G88" s="23" t="s">
        <v>73</v>
      </c>
      <c r="H88" s="7" t="s">
        <v>5</v>
      </c>
      <c r="I88" s="8" t="s">
        <v>6</v>
      </c>
      <c r="J88" s="44">
        <v>1797427001</v>
      </c>
      <c r="K88" s="44">
        <f>24196499+50000000+43256831+10000000+15000000+25000000+30000000+25000000+18500000+10000000+30000000+2328959+25000000+1090037+10000000+10000000+4000000+4979+10000000</f>
        <v>343377305</v>
      </c>
      <c r="L88" s="44">
        <f>16000000+10000000+1450900+30000000+36000000+15000000+1486566+700000+134742</f>
        <v>110772208</v>
      </c>
      <c r="M88" s="44">
        <f t="shared" si="41"/>
        <v>2030032098</v>
      </c>
      <c r="N88" s="128">
        <f>M88-[1]REP_EPG034_EjecucionPresupuesta!$T$80</f>
        <v>0</v>
      </c>
      <c r="O88" s="44">
        <v>1928872075</v>
      </c>
      <c r="P88" s="27">
        <f t="shared" si="34"/>
        <v>101160023</v>
      </c>
      <c r="Q88" s="9">
        <v>1928872075</v>
      </c>
      <c r="R88" s="25">
        <f t="shared" si="17"/>
        <v>0.95016826428524781</v>
      </c>
      <c r="S88" s="9">
        <v>1923598690</v>
      </c>
      <c r="T88" s="10">
        <v>1923598690</v>
      </c>
    </row>
    <row r="89" spans="1:259" ht="16.5" customHeight="1" x14ac:dyDescent="0.25">
      <c r="A89" s="92" t="s">
        <v>3</v>
      </c>
      <c r="B89" s="81" t="s">
        <v>50</v>
      </c>
      <c r="C89" s="81"/>
      <c r="D89" s="81"/>
      <c r="E89" s="81"/>
      <c r="F89" s="81"/>
      <c r="G89" s="81" t="s">
        <v>78</v>
      </c>
      <c r="H89" s="81" t="s">
        <v>5</v>
      </c>
      <c r="I89" s="81" t="s">
        <v>6</v>
      </c>
      <c r="J89" s="64">
        <f>J46+J36</f>
        <v>49726600000</v>
      </c>
      <c r="K89" s="64">
        <f>K46+K36</f>
        <v>16688606474.68</v>
      </c>
      <c r="L89" s="64">
        <f>L46+L36</f>
        <v>16161606737.679998</v>
      </c>
      <c r="M89" s="119">
        <f>M46+M36</f>
        <v>50253599737</v>
      </c>
      <c r="N89" s="122">
        <v>0</v>
      </c>
      <c r="O89" s="64">
        <f>O46+O36</f>
        <v>48781491481.620003</v>
      </c>
      <c r="P89" s="64">
        <f t="shared" ref="P89:Q89" si="44">P46+P36</f>
        <v>1472108255.3799984</v>
      </c>
      <c r="Q89" s="64">
        <f t="shared" si="44"/>
        <v>48781491481.620003</v>
      </c>
      <c r="R89" s="76">
        <f t="shared" si="17"/>
        <v>0.970706411817577</v>
      </c>
      <c r="S89" s="64">
        <f>S46+S36</f>
        <v>37182389575</v>
      </c>
      <c r="T89" s="73">
        <f>T46+T36</f>
        <v>37182389575</v>
      </c>
      <c r="U89" s="32"/>
    </row>
    <row r="90" spans="1:259" ht="16.5" customHeight="1" x14ac:dyDescent="0.25">
      <c r="A90" s="92" t="s">
        <v>3</v>
      </c>
      <c r="B90" s="81" t="s">
        <v>50</v>
      </c>
      <c r="C90" s="81"/>
      <c r="D90" s="81"/>
      <c r="E90" s="81"/>
      <c r="F90" s="81"/>
      <c r="G90" s="81" t="s">
        <v>78</v>
      </c>
      <c r="H90" s="81" t="s">
        <v>8</v>
      </c>
      <c r="I90" s="81">
        <v>20</v>
      </c>
      <c r="J90" s="64">
        <f>J47</f>
        <v>950000000</v>
      </c>
      <c r="K90" s="64">
        <f>K47</f>
        <v>50000000</v>
      </c>
      <c r="L90" s="64">
        <f t="shared" ref="L90:Q90" si="45">L47</f>
        <v>50000000</v>
      </c>
      <c r="M90" s="64">
        <f>M47</f>
        <v>950000000</v>
      </c>
      <c r="N90" s="64">
        <f t="shared" si="45"/>
        <v>0</v>
      </c>
      <c r="O90" s="64">
        <f t="shared" si="45"/>
        <v>950000000</v>
      </c>
      <c r="P90" s="64">
        <f t="shared" si="45"/>
        <v>0</v>
      </c>
      <c r="Q90" s="64">
        <f t="shared" si="45"/>
        <v>950000000</v>
      </c>
      <c r="R90" s="76">
        <f t="shared" si="17"/>
        <v>1</v>
      </c>
      <c r="S90" s="64">
        <f>S47</f>
        <v>911415000</v>
      </c>
      <c r="T90" s="73">
        <f>T47</f>
        <v>911415000</v>
      </c>
      <c r="U90" s="32"/>
    </row>
    <row r="91" spans="1:259" ht="16.5" customHeight="1" x14ac:dyDescent="0.25">
      <c r="A91" s="92" t="s">
        <v>3</v>
      </c>
      <c r="B91" s="81" t="s">
        <v>50</v>
      </c>
      <c r="C91" s="81"/>
      <c r="D91" s="81"/>
      <c r="E91" s="81"/>
      <c r="F91" s="81"/>
      <c r="G91" s="81" t="s">
        <v>78</v>
      </c>
      <c r="H91" s="81" t="s">
        <v>8</v>
      </c>
      <c r="I91" s="81">
        <v>21</v>
      </c>
      <c r="J91" s="64">
        <f>J48</f>
        <v>475113000</v>
      </c>
      <c r="K91" s="64">
        <v>0</v>
      </c>
      <c r="L91" s="64">
        <f t="shared" ref="L91:Q91" si="46">L48</f>
        <v>0</v>
      </c>
      <c r="M91" s="64">
        <f>M48</f>
        <v>475113000</v>
      </c>
      <c r="N91" s="64">
        <f t="shared" si="46"/>
        <v>0</v>
      </c>
      <c r="O91" s="64">
        <f t="shared" si="46"/>
        <v>475113000</v>
      </c>
      <c r="P91" s="64">
        <f t="shared" si="46"/>
        <v>0</v>
      </c>
      <c r="Q91" s="64">
        <f t="shared" si="46"/>
        <v>475113000</v>
      </c>
      <c r="R91" s="76">
        <f t="shared" si="17"/>
        <v>1</v>
      </c>
      <c r="S91" s="64">
        <f>S48</f>
        <v>475113000</v>
      </c>
      <c r="T91" s="73">
        <f>T48</f>
        <v>475113000</v>
      </c>
      <c r="U91" s="32"/>
    </row>
    <row r="92" spans="1:259" ht="15.75" customHeight="1" thickBot="1" x14ac:dyDescent="0.3">
      <c r="A92" s="142" t="s">
        <v>81</v>
      </c>
      <c r="B92" s="143"/>
      <c r="C92" s="143"/>
      <c r="D92" s="143"/>
      <c r="E92" s="143"/>
      <c r="F92" s="143"/>
      <c r="G92" s="143"/>
      <c r="H92" s="143"/>
      <c r="I92" s="144"/>
      <c r="J92" s="77">
        <f>SUM(J89:J91)</f>
        <v>51151713000</v>
      </c>
      <c r="K92" s="77">
        <f>SUM(K89:K91)</f>
        <v>16738606474.68</v>
      </c>
      <c r="L92" s="77">
        <f>SUM(L89:L91)</f>
        <v>16211606737.679998</v>
      </c>
      <c r="M92" s="77">
        <f>SUM(M89:M91)</f>
        <v>51678712737</v>
      </c>
      <c r="N92" s="77">
        <f>N49</f>
        <v>0</v>
      </c>
      <c r="O92" s="77">
        <f t="shared" ref="O92:Q92" si="47">SUM(O89:O91)</f>
        <v>50206604481.620003</v>
      </c>
      <c r="P92" s="77">
        <f t="shared" si="47"/>
        <v>1472108255.3799984</v>
      </c>
      <c r="Q92" s="77">
        <f t="shared" si="47"/>
        <v>50206604481.620003</v>
      </c>
      <c r="R92" s="76">
        <f t="shared" si="17"/>
        <v>0.97151422360553452</v>
      </c>
      <c r="S92" s="77">
        <f>SUM(S89:S91)</f>
        <v>38568917575</v>
      </c>
      <c r="T92" s="78">
        <f>SUM(T89:T91)</f>
        <v>38568917575</v>
      </c>
    </row>
    <row r="93" spans="1:259" ht="15.75" customHeight="1" thickBot="1" x14ac:dyDescent="0.3">
      <c r="A93" s="136" t="s">
        <v>86</v>
      </c>
      <c r="B93" s="137"/>
      <c r="C93" s="137"/>
      <c r="D93" s="137"/>
      <c r="E93" s="137"/>
      <c r="F93" s="137"/>
      <c r="G93" s="137"/>
      <c r="H93" s="137"/>
      <c r="I93" s="137"/>
      <c r="J93" s="137"/>
      <c r="K93" s="137"/>
      <c r="L93" s="137"/>
      <c r="M93" s="137"/>
      <c r="N93" s="137"/>
      <c r="O93" s="137"/>
      <c r="P93" s="137"/>
      <c r="Q93" s="137"/>
      <c r="R93" s="137"/>
      <c r="S93" s="137"/>
      <c r="T93" s="138"/>
    </row>
    <row r="94" spans="1:259" s="47" customFormat="1" ht="24.75" customHeight="1" x14ac:dyDescent="0.25">
      <c r="A94" s="90" t="s">
        <v>3</v>
      </c>
      <c r="B94" s="11" t="s">
        <v>51</v>
      </c>
      <c r="C94" s="11" t="s">
        <v>51</v>
      </c>
      <c r="D94" s="11"/>
      <c r="E94" s="11"/>
      <c r="F94" s="11"/>
      <c r="G94" s="12" t="s">
        <v>103</v>
      </c>
      <c r="H94" s="11" t="s">
        <v>5</v>
      </c>
      <c r="I94" s="13">
        <v>10</v>
      </c>
      <c r="J94" s="14">
        <f>J95</f>
        <v>29515700000</v>
      </c>
      <c r="K94" s="14">
        <f t="shared" ref="K94:L94" si="48">K95</f>
        <v>0</v>
      </c>
      <c r="L94" s="24">
        <f t="shared" si="48"/>
        <v>29515700000</v>
      </c>
      <c r="M94" s="24">
        <f t="shared" ref="M94:O95" si="49">M95</f>
        <v>0</v>
      </c>
      <c r="N94" s="14">
        <f>N95</f>
        <v>0</v>
      </c>
      <c r="O94" s="14">
        <f>O95</f>
        <v>0</v>
      </c>
      <c r="P94" s="24">
        <f>P95</f>
        <v>0</v>
      </c>
      <c r="Q94" s="14">
        <f>Q95</f>
        <v>0</v>
      </c>
      <c r="R94" s="50">
        <f t="shared" ref="R94:R105" si="50">IF(Q94&gt;1,Q94/(M94),0)</f>
        <v>0</v>
      </c>
      <c r="S94" s="14">
        <f>S95</f>
        <v>0</v>
      </c>
      <c r="T94" s="22">
        <f>T95</f>
        <v>0</v>
      </c>
    </row>
    <row r="95" spans="1:259" s="47" customFormat="1" ht="24.75" customHeight="1" x14ac:dyDescent="0.25">
      <c r="A95" s="90" t="s">
        <v>3</v>
      </c>
      <c r="B95" s="11" t="s">
        <v>51</v>
      </c>
      <c r="C95" s="11" t="s">
        <v>51</v>
      </c>
      <c r="D95" s="11" t="s">
        <v>34</v>
      </c>
      <c r="E95" s="11"/>
      <c r="F95" s="11"/>
      <c r="G95" s="12" t="s">
        <v>88</v>
      </c>
      <c r="H95" s="11" t="s">
        <v>5</v>
      </c>
      <c r="I95" s="13">
        <v>10</v>
      </c>
      <c r="J95" s="14">
        <f>J96</f>
        <v>29515700000</v>
      </c>
      <c r="K95" s="14">
        <f>K96</f>
        <v>0</v>
      </c>
      <c r="L95" s="24">
        <f>L96</f>
        <v>29515700000</v>
      </c>
      <c r="M95" s="24">
        <f t="shared" si="49"/>
        <v>0</v>
      </c>
      <c r="N95" s="14">
        <f t="shared" si="49"/>
        <v>0</v>
      </c>
      <c r="O95" s="14">
        <f t="shared" si="49"/>
        <v>0</v>
      </c>
      <c r="P95" s="24">
        <f>P96</f>
        <v>0</v>
      </c>
      <c r="Q95" s="14">
        <f>Q96</f>
        <v>0</v>
      </c>
      <c r="R95" s="50">
        <f t="shared" si="50"/>
        <v>0</v>
      </c>
      <c r="S95" s="14">
        <f>S96</f>
        <v>0</v>
      </c>
      <c r="T95" s="22">
        <f>T96</f>
        <v>0</v>
      </c>
    </row>
    <row r="96" spans="1:259" s="47" customFormat="1" ht="24.75" customHeight="1" x14ac:dyDescent="0.25">
      <c r="A96" s="91" t="s">
        <v>3</v>
      </c>
      <c r="B96" s="7" t="s">
        <v>51</v>
      </c>
      <c r="C96" s="7" t="s">
        <v>51</v>
      </c>
      <c r="D96" s="7" t="s">
        <v>34</v>
      </c>
      <c r="E96" s="7">
        <v>999</v>
      </c>
      <c r="F96" s="7"/>
      <c r="G96" s="23" t="s">
        <v>227</v>
      </c>
      <c r="H96" s="7" t="s">
        <v>5</v>
      </c>
      <c r="I96" s="8">
        <v>10</v>
      </c>
      <c r="J96" s="27">
        <v>29515700000</v>
      </c>
      <c r="K96" s="27">
        <v>0</v>
      </c>
      <c r="L96" s="27">
        <f>4621000000+24894700000</f>
        <v>29515700000</v>
      </c>
      <c r="M96" s="27">
        <f>J96+K96-L96</f>
        <v>0</v>
      </c>
      <c r="N96" s="27">
        <v>0</v>
      </c>
      <c r="O96" s="9">
        <v>0</v>
      </c>
      <c r="P96" s="27">
        <f>+M96-O96-N96</f>
        <v>0</v>
      </c>
      <c r="Q96" s="9">
        <v>0</v>
      </c>
      <c r="R96" s="50">
        <f t="shared" si="50"/>
        <v>0</v>
      </c>
      <c r="S96" s="9">
        <v>0</v>
      </c>
      <c r="T96" s="10">
        <v>0</v>
      </c>
    </row>
    <row r="97" spans="1:27" s="47" customFormat="1" ht="24.75" customHeight="1" x14ac:dyDescent="0.25">
      <c r="A97" s="90" t="s">
        <v>3</v>
      </c>
      <c r="B97" s="11" t="s">
        <v>51</v>
      </c>
      <c r="C97" s="11" t="s">
        <v>70</v>
      </c>
      <c r="D97" s="11"/>
      <c r="E97" s="11"/>
      <c r="F97" s="11"/>
      <c r="G97" s="12" t="s">
        <v>138</v>
      </c>
      <c r="H97" s="11" t="s">
        <v>5</v>
      </c>
      <c r="I97" s="13">
        <v>10</v>
      </c>
      <c r="J97" s="14">
        <f>J98</f>
        <v>1329700000</v>
      </c>
      <c r="K97" s="24">
        <f t="shared" ref="K97:L98" si="51">K98</f>
        <v>142000000</v>
      </c>
      <c r="L97" s="24">
        <f t="shared" si="51"/>
        <v>230038177</v>
      </c>
      <c r="M97" s="24">
        <f>J97+K97-L97</f>
        <v>1241661823</v>
      </c>
      <c r="N97" s="14">
        <v>0</v>
      </c>
      <c r="O97" s="14">
        <f>O98</f>
        <v>1211529195</v>
      </c>
      <c r="P97" s="24">
        <f>P98</f>
        <v>30132628</v>
      </c>
      <c r="Q97" s="14">
        <f t="shared" ref="O97:Q98" si="52">Q98</f>
        <v>1211529195</v>
      </c>
      <c r="R97" s="50">
        <f t="shared" si="50"/>
        <v>0.97573201700991652</v>
      </c>
      <c r="S97" s="14">
        <f>S98</f>
        <v>1211529195</v>
      </c>
      <c r="T97" s="22">
        <f>T98</f>
        <v>1211529195</v>
      </c>
    </row>
    <row r="98" spans="1:27" s="47" customFormat="1" ht="24.75" customHeight="1" x14ac:dyDescent="0.25">
      <c r="A98" s="90" t="s">
        <v>3</v>
      </c>
      <c r="B98" s="11" t="s">
        <v>51</v>
      </c>
      <c r="C98" s="11" t="s">
        <v>70</v>
      </c>
      <c r="D98" s="11" t="s">
        <v>50</v>
      </c>
      <c r="E98" s="11"/>
      <c r="F98" s="11"/>
      <c r="G98" s="12" t="s">
        <v>104</v>
      </c>
      <c r="H98" s="11" t="s">
        <v>5</v>
      </c>
      <c r="I98" s="13">
        <v>10</v>
      </c>
      <c r="J98" s="24">
        <f>J99</f>
        <v>1329700000</v>
      </c>
      <c r="K98" s="24">
        <f t="shared" si="51"/>
        <v>142000000</v>
      </c>
      <c r="L98" s="24">
        <f t="shared" si="51"/>
        <v>230038177</v>
      </c>
      <c r="M98" s="24">
        <f t="shared" ref="M97:M101" si="53">J98+K98-L98</f>
        <v>1241661823</v>
      </c>
      <c r="N98" s="24"/>
      <c r="O98" s="24">
        <f t="shared" si="52"/>
        <v>1211529195</v>
      </c>
      <c r="P98" s="24">
        <f t="shared" si="52"/>
        <v>30132628</v>
      </c>
      <c r="Q98" s="14">
        <f t="shared" si="52"/>
        <v>1211529195</v>
      </c>
      <c r="R98" s="50">
        <f t="shared" si="50"/>
        <v>0.97573201700991652</v>
      </c>
      <c r="S98" s="14">
        <f>S99</f>
        <v>1211529195</v>
      </c>
      <c r="T98" s="22">
        <f>T99</f>
        <v>1211529195</v>
      </c>
    </row>
    <row r="99" spans="1:27" s="6" customFormat="1" ht="24.75" customHeight="1" x14ac:dyDescent="0.25">
      <c r="A99" s="90" t="s">
        <v>3</v>
      </c>
      <c r="B99" s="11" t="s">
        <v>51</v>
      </c>
      <c r="C99" s="11" t="s">
        <v>70</v>
      </c>
      <c r="D99" s="11" t="s">
        <v>50</v>
      </c>
      <c r="E99" s="11" t="s">
        <v>71</v>
      </c>
      <c r="F99" s="11"/>
      <c r="G99" s="12" t="s">
        <v>228</v>
      </c>
      <c r="H99" s="11" t="s">
        <v>5</v>
      </c>
      <c r="I99" s="13">
        <v>10</v>
      </c>
      <c r="J99" s="24">
        <f>J100+J101</f>
        <v>1329700000</v>
      </c>
      <c r="K99" s="24">
        <f t="shared" ref="K99:L99" si="54">K100+K101</f>
        <v>142000000</v>
      </c>
      <c r="L99" s="24">
        <f t="shared" si="54"/>
        <v>230038177</v>
      </c>
      <c r="M99" s="24">
        <f t="shared" si="53"/>
        <v>1241661823</v>
      </c>
      <c r="N99" s="24">
        <f>N100+N101</f>
        <v>0</v>
      </c>
      <c r="O99" s="24">
        <f>O100+O101</f>
        <v>1211529195</v>
      </c>
      <c r="P99" s="24">
        <f>P100+P101</f>
        <v>30132628</v>
      </c>
      <c r="Q99" s="24">
        <f>Q100+Q101</f>
        <v>1211529195</v>
      </c>
      <c r="R99" s="26">
        <f>IF(Q99&gt;1,Q99/(M99),0)</f>
        <v>0.97573201700991652</v>
      </c>
      <c r="S99" s="14">
        <f>S100+S101</f>
        <v>1211529195</v>
      </c>
      <c r="T99" s="22">
        <f>T100+T101</f>
        <v>1211529195</v>
      </c>
    </row>
    <row r="100" spans="1:27" s="6" customFormat="1" ht="16.5" customHeight="1" x14ac:dyDescent="0.25">
      <c r="A100" s="91" t="s">
        <v>3</v>
      </c>
      <c r="B100" s="7" t="s">
        <v>51</v>
      </c>
      <c r="C100" s="7" t="s">
        <v>70</v>
      </c>
      <c r="D100" s="7" t="s">
        <v>50</v>
      </c>
      <c r="E100" s="7" t="s">
        <v>71</v>
      </c>
      <c r="F100" s="7" t="s">
        <v>35</v>
      </c>
      <c r="G100" s="23" t="s">
        <v>74</v>
      </c>
      <c r="H100" s="7" t="s">
        <v>5</v>
      </c>
      <c r="I100" s="7" t="s">
        <v>6</v>
      </c>
      <c r="J100" s="27">
        <v>840300740</v>
      </c>
      <c r="K100" s="27">
        <f>40000000</f>
        <v>40000000</v>
      </c>
      <c r="L100" s="27">
        <f>15000000+40000000+47000000+87807797</f>
        <v>189807797</v>
      </c>
      <c r="M100" s="27">
        <f>J100+K100-L100</f>
        <v>690492943</v>
      </c>
      <c r="N100" s="128">
        <f>M100-[1]REP_EPG034_EjecucionPresupuesta!$T$81</f>
        <v>0</v>
      </c>
      <c r="O100" s="27">
        <v>662388124</v>
      </c>
      <c r="P100" s="27">
        <f>+M100-O100-N100</f>
        <v>28104819</v>
      </c>
      <c r="Q100" s="27">
        <v>662388124</v>
      </c>
      <c r="R100" s="25">
        <f t="shared" si="50"/>
        <v>0.95929745657081977</v>
      </c>
      <c r="S100" s="27">
        <v>662388124</v>
      </c>
      <c r="T100" s="51">
        <v>662388124</v>
      </c>
    </row>
    <row r="101" spans="1:27" s="47" customFormat="1" ht="16.5" customHeight="1" x14ac:dyDescent="0.25">
      <c r="A101" s="91" t="s">
        <v>3</v>
      </c>
      <c r="B101" s="7" t="s">
        <v>51</v>
      </c>
      <c r="C101" s="7" t="s">
        <v>70</v>
      </c>
      <c r="D101" s="7" t="s">
        <v>50</v>
      </c>
      <c r="E101" s="7" t="s">
        <v>71</v>
      </c>
      <c r="F101" s="7" t="s">
        <v>37</v>
      </c>
      <c r="G101" s="23" t="s">
        <v>75</v>
      </c>
      <c r="H101" s="7" t="s">
        <v>5</v>
      </c>
      <c r="I101" s="7" t="s">
        <v>6</v>
      </c>
      <c r="J101" s="27">
        <v>489399260</v>
      </c>
      <c r="K101" s="27">
        <f>15000000+40000000+47000000</f>
        <v>102000000</v>
      </c>
      <c r="L101" s="27">
        <f>40000000+230380</f>
        <v>40230380</v>
      </c>
      <c r="M101" s="27">
        <f t="shared" si="53"/>
        <v>551168880</v>
      </c>
      <c r="N101" s="128">
        <f>M101-[1]REP_EPG034_EjecucionPresupuesta!$T$82</f>
        <v>0</v>
      </c>
      <c r="O101" s="27">
        <v>549141071</v>
      </c>
      <c r="P101" s="27">
        <f>+M101-O101-N101</f>
        <v>2027809</v>
      </c>
      <c r="Q101" s="27">
        <v>549141071</v>
      </c>
      <c r="R101" s="25">
        <f t="shared" si="50"/>
        <v>0.99632089351633935</v>
      </c>
      <c r="S101" s="27">
        <v>549141071</v>
      </c>
      <c r="T101" s="51">
        <v>549141071</v>
      </c>
    </row>
    <row r="102" spans="1:27" s="6" customFormat="1" ht="16.5" customHeight="1" x14ac:dyDescent="0.25">
      <c r="A102" s="90" t="s">
        <v>3</v>
      </c>
      <c r="B102" s="11" t="s">
        <v>51</v>
      </c>
      <c r="C102" s="11" t="s">
        <v>6</v>
      </c>
      <c r="D102" s="11"/>
      <c r="E102" s="11"/>
      <c r="F102" s="11"/>
      <c r="G102" s="12" t="s">
        <v>85</v>
      </c>
      <c r="H102" s="11" t="s">
        <v>5</v>
      </c>
      <c r="I102" s="11">
        <v>11</v>
      </c>
      <c r="J102" s="24">
        <f>J103</f>
        <v>0</v>
      </c>
      <c r="K102" s="24">
        <f>K103</f>
        <v>125329296</v>
      </c>
      <c r="L102" s="24">
        <f>L103</f>
        <v>0</v>
      </c>
      <c r="M102" s="24">
        <f>J102+K102-L102</f>
        <v>125329296</v>
      </c>
      <c r="N102" s="14">
        <f>N103</f>
        <v>0</v>
      </c>
      <c r="O102" s="24">
        <f>O103</f>
        <v>125329293.73</v>
      </c>
      <c r="P102" s="24">
        <f>P103</f>
        <v>2.2699999958276749</v>
      </c>
      <c r="Q102" s="24">
        <f>Q103</f>
        <v>125329293.73</v>
      </c>
      <c r="R102" s="26">
        <f t="shared" si="50"/>
        <v>0.99999998188771444</v>
      </c>
      <c r="S102" s="24">
        <f>S103</f>
        <v>0</v>
      </c>
      <c r="T102" s="33">
        <f>T103</f>
        <v>0</v>
      </c>
    </row>
    <row r="103" spans="1:27" s="6" customFormat="1" ht="16.5" customHeight="1" x14ac:dyDescent="0.25">
      <c r="A103" s="90" t="s">
        <v>3</v>
      </c>
      <c r="B103" s="71" t="s">
        <v>51</v>
      </c>
      <c r="C103" s="7" t="s">
        <v>6</v>
      </c>
      <c r="D103" s="7"/>
      <c r="E103" s="7"/>
      <c r="F103" s="7"/>
      <c r="G103" s="107" t="s">
        <v>85</v>
      </c>
      <c r="H103" s="7" t="s">
        <v>5</v>
      </c>
      <c r="I103" s="7">
        <v>11</v>
      </c>
      <c r="J103" s="27">
        <v>0</v>
      </c>
      <c r="K103" s="27">
        <v>125329296</v>
      </c>
      <c r="L103" s="27">
        <v>0</v>
      </c>
      <c r="M103" s="27">
        <f>J103+K103-L103</f>
        <v>125329296</v>
      </c>
      <c r="N103" s="9">
        <v>0</v>
      </c>
      <c r="O103" s="9">
        <v>125329293.73</v>
      </c>
      <c r="P103" s="27">
        <f>+M103-O103-N103</f>
        <v>2.2699999958276749</v>
      </c>
      <c r="Q103" s="27">
        <v>125329293.73</v>
      </c>
      <c r="R103" s="25">
        <f t="shared" si="50"/>
        <v>0.99999998188771444</v>
      </c>
      <c r="S103" s="27"/>
      <c r="T103" s="51"/>
    </row>
    <row r="104" spans="1:27" s="55" customFormat="1" ht="16.5" customHeight="1" x14ac:dyDescent="0.25">
      <c r="A104" s="92" t="s">
        <v>3</v>
      </c>
      <c r="B104" s="81" t="s">
        <v>51</v>
      </c>
      <c r="C104" s="81"/>
      <c r="D104" s="81"/>
      <c r="E104" s="81"/>
      <c r="F104" s="81"/>
      <c r="G104" s="82" t="s">
        <v>17</v>
      </c>
      <c r="H104" s="81" t="s">
        <v>5</v>
      </c>
      <c r="I104" s="83" t="s">
        <v>6</v>
      </c>
      <c r="J104" s="64">
        <f t="shared" ref="J104:P104" si="55">J102+J97+J94</f>
        <v>30845400000</v>
      </c>
      <c r="K104" s="64">
        <f t="shared" si="55"/>
        <v>267329296</v>
      </c>
      <c r="L104" s="64">
        <f t="shared" si="55"/>
        <v>29745738177</v>
      </c>
      <c r="M104" s="64">
        <f t="shared" si="55"/>
        <v>1366991119</v>
      </c>
      <c r="N104" s="64">
        <f t="shared" si="55"/>
        <v>0</v>
      </c>
      <c r="O104" s="64">
        <f t="shared" si="55"/>
        <v>1336858488.73</v>
      </c>
      <c r="P104" s="64">
        <f t="shared" si="55"/>
        <v>30132630.269999996</v>
      </c>
      <c r="Q104" s="64">
        <f>Q102+Q97+Q94</f>
        <v>1336858488.73</v>
      </c>
      <c r="R104" s="76">
        <f t="shared" si="50"/>
        <v>0.97795696705619928</v>
      </c>
      <c r="S104" s="64">
        <f>S102+S97+S94</f>
        <v>1211529195</v>
      </c>
      <c r="T104" s="73">
        <f>T102+T97+T94</f>
        <v>1211529195</v>
      </c>
      <c r="U104" s="54"/>
      <c r="V104" s="54"/>
      <c r="W104" s="54"/>
      <c r="X104" s="54"/>
      <c r="Y104" s="54"/>
      <c r="Z104" s="54"/>
      <c r="AA104" s="54"/>
    </row>
    <row r="105" spans="1:27" s="6" customFormat="1" ht="16.5" customHeight="1" thickBot="1" x14ac:dyDescent="0.3">
      <c r="A105" s="142" t="s">
        <v>27</v>
      </c>
      <c r="B105" s="143"/>
      <c r="C105" s="143"/>
      <c r="D105" s="143"/>
      <c r="E105" s="143"/>
      <c r="F105" s="143"/>
      <c r="G105" s="143"/>
      <c r="H105" s="143"/>
      <c r="I105" s="144"/>
      <c r="J105" s="77">
        <f>J104</f>
        <v>30845400000</v>
      </c>
      <c r="K105" s="77">
        <f t="shared" ref="K105:L105" si="56">K104</f>
        <v>267329296</v>
      </c>
      <c r="L105" s="77">
        <f t="shared" si="56"/>
        <v>29745738177</v>
      </c>
      <c r="M105" s="77">
        <f>M104</f>
        <v>1366991119</v>
      </c>
      <c r="N105" s="77">
        <f>N104</f>
        <v>0</v>
      </c>
      <c r="O105" s="77">
        <f>O104</f>
        <v>1336858488.73</v>
      </c>
      <c r="P105" s="77">
        <f>P104</f>
        <v>30132630.269999996</v>
      </c>
      <c r="Q105" s="77">
        <f>Q104</f>
        <v>1336858488.73</v>
      </c>
      <c r="R105" s="76">
        <f t="shared" si="50"/>
        <v>0.97795696705619928</v>
      </c>
      <c r="S105" s="77">
        <f>S104</f>
        <v>1211529195</v>
      </c>
      <c r="T105" s="78">
        <f>T104</f>
        <v>1211529195</v>
      </c>
    </row>
    <row r="106" spans="1:27" s="47" customFormat="1" ht="16.5" customHeight="1" thickBot="1" x14ac:dyDescent="0.3">
      <c r="A106" s="136" t="s">
        <v>101</v>
      </c>
      <c r="B106" s="137"/>
      <c r="C106" s="137"/>
      <c r="D106" s="137"/>
      <c r="E106" s="137"/>
      <c r="F106" s="137"/>
      <c r="G106" s="137"/>
      <c r="H106" s="137"/>
      <c r="I106" s="137"/>
      <c r="J106" s="137"/>
      <c r="K106" s="137"/>
      <c r="L106" s="137"/>
      <c r="M106" s="137"/>
      <c r="N106" s="137"/>
      <c r="O106" s="137"/>
      <c r="P106" s="137"/>
      <c r="Q106" s="137"/>
      <c r="R106" s="137"/>
      <c r="S106" s="137"/>
      <c r="T106" s="138"/>
    </row>
    <row r="107" spans="1:27" s="47" customFormat="1" ht="16.5" customHeight="1" x14ac:dyDescent="0.25">
      <c r="A107" s="90" t="s">
        <v>3</v>
      </c>
      <c r="B107" s="11" t="s">
        <v>72</v>
      </c>
      <c r="C107" s="11"/>
      <c r="D107" s="11"/>
      <c r="E107" s="11"/>
      <c r="F107" s="11"/>
      <c r="G107" s="12" t="s">
        <v>84</v>
      </c>
      <c r="H107" s="11" t="s">
        <v>5</v>
      </c>
      <c r="I107" s="11" t="s">
        <v>6</v>
      </c>
      <c r="J107" s="24">
        <f>J109+J112+J114+J118</f>
        <v>484300000</v>
      </c>
      <c r="K107" s="24">
        <f t="shared" ref="K107:Q107" si="57">K109+K112+K114+K118</f>
        <v>304670967</v>
      </c>
      <c r="L107" s="24">
        <f t="shared" si="57"/>
        <v>25870977</v>
      </c>
      <c r="M107" s="24">
        <f>M109+M112+M114+M118</f>
        <v>763099990</v>
      </c>
      <c r="N107" s="24">
        <f t="shared" si="57"/>
        <v>0</v>
      </c>
      <c r="O107" s="24">
        <f t="shared" si="57"/>
        <v>763099990</v>
      </c>
      <c r="P107" s="24">
        <f t="shared" si="57"/>
        <v>0</v>
      </c>
      <c r="Q107" s="24">
        <f t="shared" si="57"/>
        <v>763099990</v>
      </c>
      <c r="R107" s="26">
        <f t="shared" ref="R107:R126" si="58">IF(Q107&gt;1,Q107/(M107),0)</f>
        <v>1</v>
      </c>
      <c r="S107" s="24">
        <f>S109+S112+S114+S118</f>
        <v>574839990</v>
      </c>
      <c r="T107" s="33">
        <f>T109+T112+T114+T118</f>
        <v>574839990</v>
      </c>
    </row>
    <row r="108" spans="1:27" s="47" customFormat="1" ht="16.5" customHeight="1" x14ac:dyDescent="0.25">
      <c r="A108" s="90" t="s">
        <v>3</v>
      </c>
      <c r="B108" s="11" t="s">
        <v>72</v>
      </c>
      <c r="C108" s="11"/>
      <c r="D108" s="11"/>
      <c r="E108" s="11"/>
      <c r="F108" s="11"/>
      <c r="G108" s="12" t="s">
        <v>84</v>
      </c>
      <c r="H108" s="11" t="s">
        <v>5</v>
      </c>
      <c r="I108" s="11">
        <v>11</v>
      </c>
      <c r="J108" s="24">
        <f>J115</f>
        <v>877200000</v>
      </c>
      <c r="K108" s="24">
        <f t="shared" ref="K108:M108" si="59">K115</f>
        <v>0</v>
      </c>
      <c r="L108" s="24">
        <f t="shared" si="59"/>
        <v>0</v>
      </c>
      <c r="M108" s="24">
        <f t="shared" si="59"/>
        <v>877200000</v>
      </c>
      <c r="N108" s="24">
        <f>N114</f>
        <v>0</v>
      </c>
      <c r="O108" s="24">
        <f>O115</f>
        <v>877200000</v>
      </c>
      <c r="P108" s="24">
        <f>P115</f>
        <v>0</v>
      </c>
      <c r="Q108" s="24">
        <f>Q115</f>
        <v>877200000</v>
      </c>
      <c r="R108" s="26">
        <f t="shared" si="58"/>
        <v>1</v>
      </c>
      <c r="S108" s="24">
        <f>S115</f>
        <v>877200000</v>
      </c>
      <c r="T108" s="33">
        <f>T115</f>
        <v>877200000</v>
      </c>
    </row>
    <row r="109" spans="1:27" s="6" customFormat="1" ht="16.5" customHeight="1" x14ac:dyDescent="0.25">
      <c r="A109" s="90" t="s">
        <v>3</v>
      </c>
      <c r="B109" s="11" t="s">
        <v>72</v>
      </c>
      <c r="C109" s="11" t="s">
        <v>34</v>
      </c>
      <c r="D109" s="11"/>
      <c r="E109" s="11"/>
      <c r="F109" s="11"/>
      <c r="G109" s="12" t="s">
        <v>82</v>
      </c>
      <c r="H109" s="11" t="s">
        <v>5</v>
      </c>
      <c r="I109" s="11" t="s">
        <v>6</v>
      </c>
      <c r="J109" s="24">
        <f>J110+J111</f>
        <v>484300000</v>
      </c>
      <c r="K109" s="24">
        <f t="shared" ref="K109" si="60">K110+K111</f>
        <v>0</v>
      </c>
      <c r="L109" s="24">
        <f>L110+L111</f>
        <v>25870977</v>
      </c>
      <c r="M109" s="24">
        <f>M110+M111</f>
        <v>458429023</v>
      </c>
      <c r="N109" s="24">
        <f>N110+N111</f>
        <v>0</v>
      </c>
      <c r="O109" s="24">
        <f>O110+O111</f>
        <v>458429023</v>
      </c>
      <c r="P109" s="24">
        <f>M109-O109-N109</f>
        <v>0</v>
      </c>
      <c r="Q109" s="24">
        <f>Q110+Q111</f>
        <v>458429023</v>
      </c>
      <c r="R109" s="26">
        <f>IF(Q109&gt;1,Q109/(M109),0)</f>
        <v>1</v>
      </c>
      <c r="S109" s="24">
        <f>S110+S111</f>
        <v>458429023</v>
      </c>
      <c r="T109" s="33">
        <f>T110+T111</f>
        <v>458429023</v>
      </c>
    </row>
    <row r="110" spans="1:27" s="6" customFormat="1" ht="16.5" customHeight="1" x14ac:dyDescent="0.25">
      <c r="A110" s="90" t="s">
        <v>3</v>
      </c>
      <c r="B110" s="7" t="s">
        <v>72</v>
      </c>
      <c r="C110" s="7" t="s">
        <v>34</v>
      </c>
      <c r="D110" s="7" t="s">
        <v>50</v>
      </c>
      <c r="E110" s="7" t="s">
        <v>35</v>
      </c>
      <c r="F110" s="7"/>
      <c r="G110" s="23" t="s">
        <v>76</v>
      </c>
      <c r="H110" s="7" t="s">
        <v>5</v>
      </c>
      <c r="I110" s="7" t="s">
        <v>6</v>
      </c>
      <c r="J110" s="27">
        <v>472800000</v>
      </c>
      <c r="K110" s="27"/>
      <c r="L110" s="27">
        <v>23205977</v>
      </c>
      <c r="M110" s="27">
        <f>J110+K110-L110</f>
        <v>449594023</v>
      </c>
      <c r="N110" s="9">
        <v>0</v>
      </c>
      <c r="O110" s="27">
        <v>449594023</v>
      </c>
      <c r="P110" s="27">
        <f>+M110-O110-N110</f>
        <v>0</v>
      </c>
      <c r="Q110" s="27">
        <v>449594023</v>
      </c>
      <c r="R110" s="25">
        <f t="shared" si="58"/>
        <v>1</v>
      </c>
      <c r="S110" s="27">
        <v>449594023</v>
      </c>
      <c r="T110" s="51">
        <v>449594023</v>
      </c>
    </row>
    <row r="111" spans="1:27" s="47" customFormat="1" ht="16.5" customHeight="1" x14ac:dyDescent="0.25">
      <c r="A111" s="90" t="s">
        <v>3</v>
      </c>
      <c r="B111" s="7" t="s">
        <v>72</v>
      </c>
      <c r="C111" s="7" t="s">
        <v>34</v>
      </c>
      <c r="D111" s="7" t="s">
        <v>50</v>
      </c>
      <c r="E111" s="7" t="s">
        <v>43</v>
      </c>
      <c r="F111" s="7"/>
      <c r="G111" s="23" t="s">
        <v>77</v>
      </c>
      <c r="H111" s="7" t="s">
        <v>5</v>
      </c>
      <c r="I111" s="7" t="s">
        <v>6</v>
      </c>
      <c r="J111" s="27">
        <v>11500000</v>
      </c>
      <c r="K111" s="27"/>
      <c r="L111" s="27">
        <v>2665000</v>
      </c>
      <c r="M111" s="27">
        <f t="shared" ref="M111" si="61">J111+K111-L111</f>
        <v>8835000</v>
      </c>
      <c r="N111" s="9">
        <v>0</v>
      </c>
      <c r="O111" s="27">
        <v>8835000</v>
      </c>
      <c r="P111" s="27">
        <f>+M111-O111-N111</f>
        <v>0</v>
      </c>
      <c r="Q111" s="27">
        <v>8835000</v>
      </c>
      <c r="R111" s="25">
        <f t="shared" si="58"/>
        <v>1</v>
      </c>
      <c r="S111" s="27">
        <v>8835000</v>
      </c>
      <c r="T111" s="51">
        <v>8835000</v>
      </c>
    </row>
    <row r="112" spans="1:27" s="47" customFormat="1" ht="16.5" customHeight="1" x14ac:dyDescent="0.25">
      <c r="A112" s="90" t="s">
        <v>3</v>
      </c>
      <c r="B112" s="71" t="s">
        <v>72</v>
      </c>
      <c r="C112" s="71" t="s">
        <v>50</v>
      </c>
      <c r="D112" s="7"/>
      <c r="E112" s="7"/>
      <c r="F112" s="7"/>
      <c r="G112" s="12" t="s">
        <v>235</v>
      </c>
      <c r="H112" s="11" t="s">
        <v>5</v>
      </c>
      <c r="I112" s="11" t="s">
        <v>6</v>
      </c>
      <c r="J112" s="27">
        <f>J113</f>
        <v>0</v>
      </c>
      <c r="K112" s="24">
        <f t="shared" ref="K112:L112" si="62">K113</f>
        <v>40004212</v>
      </c>
      <c r="L112" s="24">
        <f t="shared" si="62"/>
        <v>0</v>
      </c>
      <c r="M112" s="24">
        <f>M113</f>
        <v>40004212</v>
      </c>
      <c r="N112" s="14">
        <f t="shared" ref="N112" si="63">N113</f>
        <v>0</v>
      </c>
      <c r="O112" s="24">
        <f>O113</f>
        <v>40004212</v>
      </c>
      <c r="P112" s="24">
        <f>P113</f>
        <v>0</v>
      </c>
      <c r="Q112" s="24">
        <f>Q113</f>
        <v>40004212</v>
      </c>
      <c r="R112" s="26">
        <f>IF(Q112&gt;1,Q112/(M112),0)</f>
        <v>1</v>
      </c>
      <c r="S112" s="24">
        <f>S113</f>
        <v>40004212</v>
      </c>
      <c r="T112" s="33">
        <f>T113</f>
        <v>40004212</v>
      </c>
    </row>
    <row r="113" spans="1:21" s="47" customFormat="1" ht="16.5" customHeight="1" x14ac:dyDescent="0.25">
      <c r="A113" s="90" t="s">
        <v>3</v>
      </c>
      <c r="B113" s="65" t="s">
        <v>72</v>
      </c>
      <c r="C113" s="65" t="s">
        <v>50</v>
      </c>
      <c r="D113" s="7"/>
      <c r="E113" s="7"/>
      <c r="F113" s="7"/>
      <c r="G113" s="23" t="s">
        <v>235</v>
      </c>
      <c r="H113" s="7" t="s">
        <v>5</v>
      </c>
      <c r="I113" s="7" t="s">
        <v>6</v>
      </c>
      <c r="J113" s="27"/>
      <c r="K113" s="27">
        <v>40004212</v>
      </c>
      <c r="L113" s="27"/>
      <c r="M113" s="27">
        <f>J113+K113-L113</f>
        <v>40004212</v>
      </c>
      <c r="N113" s="9"/>
      <c r="O113" s="27">
        <v>40004212</v>
      </c>
      <c r="P113" s="27">
        <f>+M113-O113-N113</f>
        <v>0</v>
      </c>
      <c r="Q113" s="27">
        <v>40004212</v>
      </c>
      <c r="R113" s="25">
        <f t="shared" si="58"/>
        <v>1</v>
      </c>
      <c r="S113" s="27">
        <v>40004212</v>
      </c>
      <c r="T113" s="51">
        <v>40004212</v>
      </c>
    </row>
    <row r="114" spans="1:21" s="47" customFormat="1" ht="16.5" customHeight="1" x14ac:dyDescent="0.25">
      <c r="A114" s="90" t="s">
        <v>3</v>
      </c>
      <c r="B114" s="11" t="s">
        <v>72</v>
      </c>
      <c r="C114" s="11" t="s">
        <v>70</v>
      </c>
      <c r="D114" s="11"/>
      <c r="E114" s="11"/>
      <c r="F114" s="11"/>
      <c r="G114" s="12" t="s">
        <v>136</v>
      </c>
      <c r="H114" s="11" t="s">
        <v>5</v>
      </c>
      <c r="I114" s="11">
        <v>10</v>
      </c>
      <c r="J114" s="24">
        <f>J116</f>
        <v>0</v>
      </c>
      <c r="K114" s="24">
        <f>K116</f>
        <v>76406755</v>
      </c>
      <c r="L114" s="24">
        <f t="shared" ref="L114:Q114" si="64">L116</f>
        <v>0</v>
      </c>
      <c r="M114" s="24">
        <f t="shared" si="64"/>
        <v>76406755</v>
      </c>
      <c r="N114" s="14">
        <f t="shared" si="64"/>
        <v>0</v>
      </c>
      <c r="O114" s="24">
        <f t="shared" si="64"/>
        <v>76406755</v>
      </c>
      <c r="P114" s="24">
        <f t="shared" si="64"/>
        <v>0</v>
      </c>
      <c r="Q114" s="24">
        <f t="shared" si="64"/>
        <v>76406755</v>
      </c>
      <c r="R114" s="26">
        <f t="shared" si="58"/>
        <v>1</v>
      </c>
      <c r="S114" s="24">
        <f>S116</f>
        <v>76406755</v>
      </c>
      <c r="T114" s="33">
        <f>T116</f>
        <v>76406755</v>
      </c>
    </row>
    <row r="115" spans="1:21" s="47" customFormat="1" ht="16.5" customHeight="1" x14ac:dyDescent="0.25">
      <c r="A115" s="90" t="s">
        <v>3</v>
      </c>
      <c r="B115" s="11" t="s">
        <v>72</v>
      </c>
      <c r="C115" s="11" t="s">
        <v>70</v>
      </c>
      <c r="D115" s="11"/>
      <c r="E115" s="11"/>
      <c r="F115" s="11"/>
      <c r="G115" s="12" t="s">
        <v>136</v>
      </c>
      <c r="H115" s="11" t="s">
        <v>5</v>
      </c>
      <c r="I115" s="11">
        <v>11</v>
      </c>
      <c r="J115" s="24">
        <f>J117</f>
        <v>877200000</v>
      </c>
      <c r="K115" s="24">
        <f t="shared" ref="K115:Q115" si="65">K117</f>
        <v>0</v>
      </c>
      <c r="L115" s="24">
        <f t="shared" si="65"/>
        <v>0</v>
      </c>
      <c r="M115" s="24">
        <f t="shared" si="65"/>
        <v>877200000</v>
      </c>
      <c r="N115" s="14">
        <f t="shared" si="65"/>
        <v>0</v>
      </c>
      <c r="O115" s="24">
        <f t="shared" si="65"/>
        <v>877200000</v>
      </c>
      <c r="P115" s="24">
        <f t="shared" si="65"/>
        <v>0</v>
      </c>
      <c r="Q115" s="24">
        <f t="shared" si="65"/>
        <v>877200000</v>
      </c>
      <c r="R115" s="26">
        <f>IF(Q115&gt;1,Q115/(M115),0)</f>
        <v>1</v>
      </c>
      <c r="S115" s="24">
        <f>S117</f>
        <v>877200000</v>
      </c>
      <c r="T115" s="33">
        <f>T117</f>
        <v>877200000</v>
      </c>
    </row>
    <row r="116" spans="1:21" s="6" customFormat="1" ht="16.5" customHeight="1" x14ac:dyDescent="0.25">
      <c r="A116" s="91" t="s">
        <v>3</v>
      </c>
      <c r="B116" s="7" t="s">
        <v>72</v>
      </c>
      <c r="C116" s="7" t="s">
        <v>70</v>
      </c>
      <c r="D116" s="65" t="s">
        <v>34</v>
      </c>
      <c r="E116" s="7"/>
      <c r="F116" s="7"/>
      <c r="G116" s="23" t="s">
        <v>83</v>
      </c>
      <c r="H116" s="7" t="s">
        <v>5</v>
      </c>
      <c r="I116" s="7">
        <v>10</v>
      </c>
      <c r="J116" s="27">
        <v>0</v>
      </c>
      <c r="K116" s="27">
        <v>76406755</v>
      </c>
      <c r="L116" s="27">
        <v>0</v>
      </c>
      <c r="M116" s="27">
        <f>J116+K116-L116</f>
        <v>76406755</v>
      </c>
      <c r="N116" s="9">
        <v>0</v>
      </c>
      <c r="O116" s="27">
        <v>76406755</v>
      </c>
      <c r="P116" s="27">
        <f>+M116-O116-N116</f>
        <v>0</v>
      </c>
      <c r="Q116" s="27">
        <v>76406755</v>
      </c>
      <c r="R116" s="25">
        <f>IF(Q116&gt;1,Q116/(M116),0)</f>
        <v>1</v>
      </c>
      <c r="S116" s="27">
        <v>76406755</v>
      </c>
      <c r="T116" s="51">
        <v>76406755</v>
      </c>
    </row>
    <row r="117" spans="1:21" s="6" customFormat="1" ht="16.5" customHeight="1" x14ac:dyDescent="0.25">
      <c r="A117" s="91" t="s">
        <v>3</v>
      </c>
      <c r="B117" s="7" t="s">
        <v>72</v>
      </c>
      <c r="C117" s="7" t="s">
        <v>70</v>
      </c>
      <c r="D117" s="65" t="s">
        <v>34</v>
      </c>
      <c r="E117" s="7"/>
      <c r="F117" s="7"/>
      <c r="G117" s="23" t="s">
        <v>83</v>
      </c>
      <c r="H117" s="7" t="s">
        <v>5</v>
      </c>
      <c r="I117" s="7">
        <v>11</v>
      </c>
      <c r="J117" s="27">
        <v>877200000</v>
      </c>
      <c r="K117" s="27">
        <v>0</v>
      </c>
      <c r="L117" s="27">
        <v>0</v>
      </c>
      <c r="M117" s="27">
        <f>J117+K117-L117</f>
        <v>877200000</v>
      </c>
      <c r="N117" s="9">
        <v>0</v>
      </c>
      <c r="O117" s="27">
        <v>877200000</v>
      </c>
      <c r="P117" s="27">
        <f>+M117-O117-N117</f>
        <v>0</v>
      </c>
      <c r="Q117" s="27">
        <v>877200000</v>
      </c>
      <c r="R117" s="25">
        <f>IF(Q117&gt;1,Q117/(M117),0)</f>
        <v>1</v>
      </c>
      <c r="S117" s="27">
        <v>877200000</v>
      </c>
      <c r="T117" s="51">
        <v>877200000</v>
      </c>
    </row>
    <row r="118" spans="1:21" s="6" customFormat="1" ht="16.5" customHeight="1" x14ac:dyDescent="0.25">
      <c r="A118" s="90" t="s">
        <v>3</v>
      </c>
      <c r="B118" s="11" t="s">
        <v>72</v>
      </c>
      <c r="C118" s="71" t="s">
        <v>239</v>
      </c>
      <c r="D118" s="71"/>
      <c r="E118" s="11"/>
      <c r="F118" s="11"/>
      <c r="G118" s="117" t="s">
        <v>240</v>
      </c>
      <c r="H118" s="11" t="s">
        <v>5</v>
      </c>
      <c r="I118" s="11">
        <v>10</v>
      </c>
      <c r="J118" s="24">
        <f>J119</f>
        <v>0</v>
      </c>
      <c r="K118" s="24">
        <f>K119</f>
        <v>188260000</v>
      </c>
      <c r="L118" s="24">
        <f t="shared" ref="L118:Q118" si="66">L119</f>
        <v>0</v>
      </c>
      <c r="M118" s="24">
        <f>M119</f>
        <v>188260000</v>
      </c>
      <c r="N118" s="14">
        <f t="shared" si="66"/>
        <v>0</v>
      </c>
      <c r="O118" s="24">
        <f t="shared" si="66"/>
        <v>188260000</v>
      </c>
      <c r="P118" s="24">
        <f t="shared" si="66"/>
        <v>0</v>
      </c>
      <c r="Q118" s="24">
        <f t="shared" si="66"/>
        <v>188260000</v>
      </c>
      <c r="R118" s="26">
        <f>IF(Q118&gt;1,Q118/(M118),0)</f>
        <v>1</v>
      </c>
      <c r="S118" s="24">
        <f t="shared" ref="S118:T118" si="67">S119</f>
        <v>0</v>
      </c>
      <c r="T118" s="33">
        <f t="shared" si="67"/>
        <v>0</v>
      </c>
    </row>
    <row r="119" spans="1:21" ht="18" customHeight="1" x14ac:dyDescent="0.25">
      <c r="A119" s="124" t="s">
        <v>3</v>
      </c>
      <c r="B119" s="125" t="s">
        <v>72</v>
      </c>
      <c r="C119" s="126" t="s">
        <v>239</v>
      </c>
      <c r="D119" s="125" t="s">
        <v>34</v>
      </c>
      <c r="E119" s="126" t="s">
        <v>39</v>
      </c>
      <c r="F119" s="125"/>
      <c r="G119" s="107" t="s">
        <v>238</v>
      </c>
      <c r="H119" s="125" t="s">
        <v>5</v>
      </c>
      <c r="I119" s="125">
        <v>10</v>
      </c>
      <c r="J119" s="27">
        <v>0</v>
      </c>
      <c r="K119" s="27">
        <v>188260000</v>
      </c>
      <c r="L119" s="27">
        <v>0</v>
      </c>
      <c r="M119" s="27">
        <f>J119+K119-L119</f>
        <v>188260000</v>
      </c>
      <c r="N119" s="27">
        <v>0</v>
      </c>
      <c r="O119" s="27">
        <v>188260000</v>
      </c>
      <c r="P119" s="27">
        <f>+M119-O119-N119</f>
        <v>0</v>
      </c>
      <c r="Q119" s="27">
        <v>188260000</v>
      </c>
      <c r="R119" s="69">
        <f>IF(Q119&gt;1,Q119/(M119),0)</f>
        <v>1</v>
      </c>
      <c r="S119" s="27">
        <v>0</v>
      </c>
      <c r="T119" s="51">
        <v>0</v>
      </c>
    </row>
    <row r="120" spans="1:21" ht="26.25" customHeight="1" x14ac:dyDescent="0.25">
      <c r="A120" s="92" t="s">
        <v>3</v>
      </c>
      <c r="B120" s="81" t="s">
        <v>72</v>
      </c>
      <c r="C120" s="81"/>
      <c r="D120" s="81"/>
      <c r="E120" s="81"/>
      <c r="F120" s="81"/>
      <c r="G120" s="82" t="s">
        <v>100</v>
      </c>
      <c r="H120" s="81" t="s">
        <v>5</v>
      </c>
      <c r="I120" s="83" t="s">
        <v>6</v>
      </c>
      <c r="J120" s="64">
        <f t="shared" ref="J120:M121" si="68">J107</f>
        <v>484300000</v>
      </c>
      <c r="K120" s="64">
        <f t="shared" si="68"/>
        <v>304670967</v>
      </c>
      <c r="L120" s="64">
        <f t="shared" si="68"/>
        <v>25870977</v>
      </c>
      <c r="M120" s="64">
        <f>M107</f>
        <v>763099990</v>
      </c>
      <c r="N120" s="64">
        <f t="shared" ref="N120:Q120" si="69">N107</f>
        <v>0</v>
      </c>
      <c r="O120" s="64">
        <f t="shared" si="69"/>
        <v>763099990</v>
      </c>
      <c r="P120" s="64">
        <f t="shared" si="69"/>
        <v>0</v>
      </c>
      <c r="Q120" s="64">
        <f t="shared" si="69"/>
        <v>763099990</v>
      </c>
      <c r="R120" s="76">
        <f t="shared" si="58"/>
        <v>1</v>
      </c>
      <c r="S120" s="64">
        <f t="shared" ref="S120:T120" si="70">S107</f>
        <v>574839990</v>
      </c>
      <c r="T120" s="73">
        <f t="shared" si="70"/>
        <v>574839990</v>
      </c>
    </row>
    <row r="121" spans="1:21" ht="26.25" customHeight="1" x14ac:dyDescent="0.25">
      <c r="A121" s="92" t="s">
        <v>3</v>
      </c>
      <c r="B121" s="81" t="s">
        <v>72</v>
      </c>
      <c r="C121" s="81"/>
      <c r="D121" s="81"/>
      <c r="E121" s="81"/>
      <c r="F121" s="81"/>
      <c r="G121" s="82" t="s">
        <v>100</v>
      </c>
      <c r="H121" s="81" t="s">
        <v>5</v>
      </c>
      <c r="I121" s="83">
        <v>11</v>
      </c>
      <c r="J121" s="64">
        <f t="shared" si="68"/>
        <v>877200000</v>
      </c>
      <c r="K121" s="64">
        <f t="shared" si="68"/>
        <v>0</v>
      </c>
      <c r="L121" s="64">
        <f t="shared" si="68"/>
        <v>0</v>
      </c>
      <c r="M121" s="64">
        <f t="shared" si="68"/>
        <v>877200000</v>
      </c>
      <c r="N121" s="64">
        <f t="shared" ref="N121:Q121" si="71">N108</f>
        <v>0</v>
      </c>
      <c r="O121" s="64">
        <f t="shared" si="71"/>
        <v>877200000</v>
      </c>
      <c r="P121" s="64">
        <f t="shared" si="71"/>
        <v>0</v>
      </c>
      <c r="Q121" s="64">
        <f t="shared" si="71"/>
        <v>877200000</v>
      </c>
      <c r="R121" s="76">
        <f t="shared" si="58"/>
        <v>1</v>
      </c>
      <c r="S121" s="64">
        <f t="shared" ref="S121:T121" si="72">S108</f>
        <v>877200000</v>
      </c>
      <c r="T121" s="73">
        <f t="shared" si="72"/>
        <v>877200000</v>
      </c>
    </row>
    <row r="122" spans="1:21" ht="16.5" customHeight="1" x14ac:dyDescent="0.25">
      <c r="A122" s="142" t="s">
        <v>105</v>
      </c>
      <c r="B122" s="143"/>
      <c r="C122" s="143"/>
      <c r="D122" s="143"/>
      <c r="E122" s="143"/>
      <c r="F122" s="143"/>
      <c r="G122" s="143"/>
      <c r="H122" s="143"/>
      <c r="I122" s="144"/>
      <c r="J122" s="77">
        <f>J120+J121</f>
        <v>1361500000</v>
      </c>
      <c r="K122" s="77">
        <f t="shared" ref="K122:L122" si="73">K120+K121</f>
        <v>304670967</v>
      </c>
      <c r="L122" s="77">
        <f t="shared" si="73"/>
        <v>25870977</v>
      </c>
      <c r="M122" s="77">
        <f>M120+M121</f>
        <v>1640299990</v>
      </c>
      <c r="N122" s="77">
        <f t="shared" ref="N122:Q122" si="74">N120+N121</f>
        <v>0</v>
      </c>
      <c r="O122" s="77">
        <f t="shared" si="74"/>
        <v>1640299990</v>
      </c>
      <c r="P122" s="77">
        <f t="shared" si="74"/>
        <v>0</v>
      </c>
      <c r="Q122" s="77">
        <f t="shared" si="74"/>
        <v>1640299990</v>
      </c>
      <c r="R122" s="76">
        <f t="shared" si="58"/>
        <v>1</v>
      </c>
      <c r="S122" s="77">
        <f t="shared" ref="S122:T122" si="75">S120+S121</f>
        <v>1452039990</v>
      </c>
      <c r="T122" s="78">
        <f t="shared" si="75"/>
        <v>1452039990</v>
      </c>
    </row>
    <row r="123" spans="1:21" ht="16.5" customHeight="1" x14ac:dyDescent="0.25">
      <c r="A123" s="93" t="s">
        <v>3</v>
      </c>
      <c r="B123" s="84"/>
      <c r="C123" s="84"/>
      <c r="D123" s="84"/>
      <c r="E123" s="84"/>
      <c r="F123" s="84"/>
      <c r="G123" s="85" t="s">
        <v>4</v>
      </c>
      <c r="H123" s="84" t="s">
        <v>5</v>
      </c>
      <c r="I123" s="86">
        <v>10</v>
      </c>
      <c r="J123" s="72">
        <f t="shared" ref="J123:Q123" si="76">+J120+J89+J33+J104</f>
        <v>387240600000</v>
      </c>
      <c r="K123" s="72">
        <f t="shared" si="76"/>
        <v>25414106737.68</v>
      </c>
      <c r="L123" s="72">
        <f t="shared" si="76"/>
        <v>48645232974.68</v>
      </c>
      <c r="M123" s="72">
        <f t="shared" si="76"/>
        <v>364009473763</v>
      </c>
      <c r="N123" s="72">
        <f t="shared" si="76"/>
        <v>0</v>
      </c>
      <c r="O123" s="72">
        <f t="shared" si="76"/>
        <v>362503689073.34998</v>
      </c>
      <c r="P123" s="72">
        <f t="shared" si="76"/>
        <v>1505784689.6499984</v>
      </c>
      <c r="Q123" s="72">
        <f t="shared" si="76"/>
        <v>362503689073.34998</v>
      </c>
      <c r="R123" s="74">
        <f t="shared" si="58"/>
        <v>0.99586333653878911</v>
      </c>
      <c r="S123" s="72">
        <f>+S120+S89+S33+S104</f>
        <v>350590997873</v>
      </c>
      <c r="T123" s="75">
        <f>+T120+T89+T33+T104</f>
        <v>341597354423</v>
      </c>
    </row>
    <row r="124" spans="1:21" ht="16.5" customHeight="1" x14ac:dyDescent="0.25">
      <c r="A124" s="93" t="s">
        <v>3</v>
      </c>
      <c r="B124" s="84"/>
      <c r="C124" s="84"/>
      <c r="D124" s="84"/>
      <c r="E124" s="84"/>
      <c r="F124" s="84"/>
      <c r="G124" s="85" t="s">
        <v>4</v>
      </c>
      <c r="H124" s="84" t="s">
        <v>5</v>
      </c>
      <c r="I124" s="86">
        <v>11</v>
      </c>
      <c r="J124" s="72">
        <f>J121</f>
        <v>877200000</v>
      </c>
      <c r="K124" s="72">
        <f t="shared" ref="K124:L124" si="77">K121</f>
        <v>0</v>
      </c>
      <c r="L124" s="72">
        <f t="shared" si="77"/>
        <v>0</v>
      </c>
      <c r="M124" s="72">
        <f>M121</f>
        <v>877200000</v>
      </c>
      <c r="N124" s="72">
        <f>N121</f>
        <v>0</v>
      </c>
      <c r="O124" s="72">
        <f>O121</f>
        <v>877200000</v>
      </c>
      <c r="P124" s="72">
        <f>P121</f>
        <v>0</v>
      </c>
      <c r="Q124" s="72">
        <f>Q121</f>
        <v>877200000</v>
      </c>
      <c r="R124" s="74">
        <f t="shared" si="58"/>
        <v>1</v>
      </c>
      <c r="S124" s="72">
        <f>S121</f>
        <v>877200000</v>
      </c>
      <c r="T124" s="75">
        <f>T121</f>
        <v>877200000</v>
      </c>
    </row>
    <row r="125" spans="1:21" ht="16.5" customHeight="1" x14ac:dyDescent="0.25">
      <c r="A125" s="93" t="s">
        <v>3</v>
      </c>
      <c r="B125" s="84"/>
      <c r="C125" s="84"/>
      <c r="D125" s="84"/>
      <c r="E125" s="84"/>
      <c r="F125" s="84"/>
      <c r="G125" s="85" t="s">
        <v>4</v>
      </c>
      <c r="H125" s="84" t="s">
        <v>8</v>
      </c>
      <c r="I125" s="86">
        <v>20</v>
      </c>
      <c r="J125" s="72">
        <f t="shared" ref="J125:Q126" si="78">J90</f>
        <v>950000000</v>
      </c>
      <c r="K125" s="72">
        <f t="shared" si="78"/>
        <v>50000000</v>
      </c>
      <c r="L125" s="72">
        <f t="shared" si="78"/>
        <v>50000000</v>
      </c>
      <c r="M125" s="72">
        <f t="shared" si="78"/>
        <v>950000000</v>
      </c>
      <c r="N125" s="72">
        <f t="shared" si="78"/>
        <v>0</v>
      </c>
      <c r="O125" s="72">
        <f t="shared" si="78"/>
        <v>950000000</v>
      </c>
      <c r="P125" s="72">
        <f t="shared" si="78"/>
        <v>0</v>
      </c>
      <c r="Q125" s="72">
        <f t="shared" si="78"/>
        <v>950000000</v>
      </c>
      <c r="R125" s="74">
        <f t="shared" si="58"/>
        <v>1</v>
      </c>
      <c r="S125" s="72">
        <f>S90</f>
        <v>911415000</v>
      </c>
      <c r="T125" s="75">
        <f>T90</f>
        <v>911415000</v>
      </c>
    </row>
    <row r="126" spans="1:21" s="5" customFormat="1" ht="15" customHeight="1" x14ac:dyDescent="0.2">
      <c r="A126" s="93" t="s">
        <v>3</v>
      </c>
      <c r="B126" s="84"/>
      <c r="C126" s="84"/>
      <c r="D126" s="84"/>
      <c r="E126" s="84"/>
      <c r="F126" s="84"/>
      <c r="G126" s="85" t="s">
        <v>4</v>
      </c>
      <c r="H126" s="84" t="s">
        <v>8</v>
      </c>
      <c r="I126" s="86">
        <v>21</v>
      </c>
      <c r="J126" s="72">
        <f t="shared" si="78"/>
        <v>475113000</v>
      </c>
      <c r="K126" s="72">
        <f t="shared" si="78"/>
        <v>0</v>
      </c>
      <c r="L126" s="72">
        <f t="shared" si="78"/>
        <v>0</v>
      </c>
      <c r="M126" s="72">
        <f t="shared" si="78"/>
        <v>475113000</v>
      </c>
      <c r="N126" s="72">
        <f>N91</f>
        <v>0</v>
      </c>
      <c r="O126" s="72">
        <f t="shared" si="78"/>
        <v>475113000</v>
      </c>
      <c r="P126" s="72">
        <f t="shared" si="78"/>
        <v>0</v>
      </c>
      <c r="Q126" s="72">
        <f t="shared" si="78"/>
        <v>475113000</v>
      </c>
      <c r="R126" s="74">
        <f t="shared" si="58"/>
        <v>1</v>
      </c>
      <c r="S126" s="72">
        <f>S91</f>
        <v>475113000</v>
      </c>
      <c r="T126" s="75">
        <f>T91</f>
        <v>475113000</v>
      </c>
      <c r="U126" s="46"/>
    </row>
    <row r="127" spans="1:21" ht="15.75" customHeight="1" thickBot="1" x14ac:dyDescent="0.3">
      <c r="A127" s="145" t="s">
        <v>28</v>
      </c>
      <c r="B127" s="146"/>
      <c r="C127" s="146"/>
      <c r="D127" s="146"/>
      <c r="E127" s="146"/>
      <c r="F127" s="146"/>
      <c r="G127" s="146"/>
      <c r="H127" s="146"/>
      <c r="I127" s="147"/>
      <c r="J127" s="41">
        <f>SUM(J123:J126)</f>
        <v>389542913000</v>
      </c>
      <c r="K127" s="41">
        <f>SUM(K123:K126)</f>
        <v>25464106737.68</v>
      </c>
      <c r="L127" s="41">
        <f t="shared" ref="L127" si="79">SUM(L123:L126)</f>
        <v>48695232974.68</v>
      </c>
      <c r="M127" s="41">
        <f>SUM(M123:M126)</f>
        <v>366311786763</v>
      </c>
      <c r="N127" s="41">
        <f>SUM(N123:N126)</f>
        <v>0</v>
      </c>
      <c r="O127" s="41">
        <f>SUM(O123:O126)</f>
        <v>364806002073.34998</v>
      </c>
      <c r="P127" s="41">
        <f>SUM(P123:P126)</f>
        <v>1505784689.6499984</v>
      </c>
      <c r="Q127" s="41">
        <f>SUM(Q123:Q126)</f>
        <v>364806002073.34998</v>
      </c>
      <c r="R127" s="43">
        <f>IF(Q127&gt;1,Q127/(M127),0)</f>
        <v>0.99588933595897566</v>
      </c>
      <c r="S127" s="41">
        <f>SUM(S123:S126)</f>
        <v>352854725873</v>
      </c>
      <c r="T127" s="52">
        <f>SUM(T123:T126)</f>
        <v>343861082423</v>
      </c>
    </row>
    <row r="128" spans="1:21" s="6" customFormat="1" ht="18.75" customHeight="1" thickBot="1" x14ac:dyDescent="0.3">
      <c r="A128" s="136" t="s">
        <v>31</v>
      </c>
      <c r="B128" s="137"/>
      <c r="C128" s="137"/>
      <c r="D128" s="137"/>
      <c r="E128" s="137"/>
      <c r="F128" s="137"/>
      <c r="G128" s="137"/>
      <c r="H128" s="137"/>
      <c r="I128" s="137"/>
      <c r="J128" s="137"/>
      <c r="K128" s="137"/>
      <c r="L128" s="137"/>
      <c r="M128" s="137"/>
      <c r="N128" s="137"/>
      <c r="O128" s="137"/>
      <c r="P128" s="137"/>
      <c r="Q128" s="137"/>
      <c r="R128" s="137"/>
      <c r="S128" s="137"/>
      <c r="T128" s="138"/>
    </row>
    <row r="129" spans="1:20" s="6" customFormat="1" ht="24.75" customHeight="1" x14ac:dyDescent="0.25">
      <c r="A129" s="90" t="s">
        <v>18</v>
      </c>
      <c r="B129" s="11">
        <v>2901</v>
      </c>
      <c r="C129" s="11"/>
      <c r="D129" s="11"/>
      <c r="E129" s="11"/>
      <c r="F129" s="11"/>
      <c r="G129" s="12" t="s">
        <v>99</v>
      </c>
      <c r="H129" s="11" t="s">
        <v>5</v>
      </c>
      <c r="I129" s="13">
        <v>10</v>
      </c>
      <c r="J129" s="24">
        <f>J131+J133+J135+J139+J143+J152+J156+J147</f>
        <v>60058296000</v>
      </c>
      <c r="K129" s="24">
        <f t="shared" ref="K129:P129" si="80">K131+K133+K135+K139+K143+K152+K156+K147</f>
        <v>90241646</v>
      </c>
      <c r="L129" s="24">
        <f t="shared" si="80"/>
        <v>584075758</v>
      </c>
      <c r="M129" s="24">
        <f t="shared" si="80"/>
        <v>59564461888</v>
      </c>
      <c r="N129" s="14">
        <f t="shared" si="80"/>
        <v>0</v>
      </c>
      <c r="O129" s="88">
        <f t="shared" si="80"/>
        <v>59461315737.959999</v>
      </c>
      <c r="P129" s="24">
        <f t="shared" si="80"/>
        <v>103146150.03999972</v>
      </c>
      <c r="Q129" s="14">
        <f>Q131+Q133+Q135+Q139+Q143+Q152+Q156+Q147</f>
        <v>59461315737.959999</v>
      </c>
      <c r="R129" s="26">
        <f t="shared" ref="R129:R188" si="81">IF(Q129&gt;1,Q129/(M129),0)</f>
        <v>0.99826832734199888</v>
      </c>
      <c r="S129" s="14">
        <f t="shared" ref="S129" si="82">S131+S133+S135+S139+S143+S152+S156+S147</f>
        <v>18271486841.540001</v>
      </c>
      <c r="T129" s="22">
        <f>T131+T133+T135+T139+T143+T152+T156+T147</f>
        <v>18271486841.540001</v>
      </c>
    </row>
    <row r="130" spans="1:20" ht="33" customHeight="1" x14ac:dyDescent="0.25">
      <c r="A130" s="90" t="s">
        <v>18</v>
      </c>
      <c r="B130" s="11">
        <v>2901</v>
      </c>
      <c r="C130" s="11"/>
      <c r="D130" s="11"/>
      <c r="E130" s="11"/>
      <c r="F130" s="11"/>
      <c r="G130" s="12" t="s">
        <v>99</v>
      </c>
      <c r="H130" s="11" t="s">
        <v>8</v>
      </c>
      <c r="I130" s="13">
        <v>21</v>
      </c>
      <c r="J130" s="14">
        <f>J140+J148</f>
        <v>1194647000</v>
      </c>
      <c r="K130" s="14">
        <f t="shared" ref="K130:Q130" si="83">K140+K148</f>
        <v>0</v>
      </c>
      <c r="L130" s="24">
        <f t="shared" si="83"/>
        <v>0</v>
      </c>
      <c r="M130" s="24">
        <f t="shared" si="83"/>
        <v>1194647000</v>
      </c>
      <c r="N130" s="14">
        <f t="shared" si="83"/>
        <v>0</v>
      </c>
      <c r="O130" s="14">
        <f t="shared" si="83"/>
        <v>1194647000</v>
      </c>
      <c r="P130" s="24">
        <f t="shared" si="83"/>
        <v>0</v>
      </c>
      <c r="Q130" s="14">
        <f t="shared" si="83"/>
        <v>1194647000</v>
      </c>
      <c r="R130" s="26">
        <f t="shared" si="81"/>
        <v>1</v>
      </c>
      <c r="S130" s="14">
        <f>S140+S148</f>
        <v>363150</v>
      </c>
      <c r="T130" s="22">
        <f>T140+T148</f>
        <v>363150</v>
      </c>
    </row>
    <row r="131" spans="1:20" ht="33" customHeight="1" x14ac:dyDescent="0.25">
      <c r="A131" s="95" t="s">
        <v>18</v>
      </c>
      <c r="B131" s="98" t="s">
        <v>89</v>
      </c>
      <c r="C131" s="98" t="s">
        <v>90</v>
      </c>
      <c r="D131" s="98" t="s">
        <v>91</v>
      </c>
      <c r="E131" s="11"/>
      <c r="F131" s="11"/>
      <c r="G131" s="12" t="s">
        <v>194</v>
      </c>
      <c r="H131" s="98" t="s">
        <v>5</v>
      </c>
      <c r="I131" s="99">
        <v>10</v>
      </c>
      <c r="J131" s="14">
        <f>J132</f>
        <v>11474400000</v>
      </c>
      <c r="K131" s="14">
        <f t="shared" ref="K131:N131" si="84">K132</f>
        <v>0</v>
      </c>
      <c r="L131" s="24">
        <f t="shared" si="84"/>
        <v>0</v>
      </c>
      <c r="M131" s="24">
        <f>M132</f>
        <v>11474400000</v>
      </c>
      <c r="N131" s="14">
        <f t="shared" si="84"/>
        <v>0</v>
      </c>
      <c r="O131" s="14">
        <f>O132</f>
        <v>11474399998.559999</v>
      </c>
      <c r="P131" s="24">
        <f>P132</f>
        <v>1.4400005340576172</v>
      </c>
      <c r="Q131" s="14">
        <f>Q132</f>
        <v>11474399998.559999</v>
      </c>
      <c r="R131" s="26">
        <f t="shared" si="81"/>
        <v>0.99999999987450316</v>
      </c>
      <c r="S131" s="14">
        <f>S132</f>
        <v>2439750329.9000001</v>
      </c>
      <c r="T131" s="22">
        <f>T132</f>
        <v>2439750329.9000001</v>
      </c>
    </row>
    <row r="132" spans="1:20" ht="50.25" customHeight="1" x14ac:dyDescent="0.25">
      <c r="A132" s="94" t="s">
        <v>18</v>
      </c>
      <c r="B132" s="56" t="s">
        <v>89</v>
      </c>
      <c r="C132" s="56" t="s">
        <v>90</v>
      </c>
      <c r="D132" s="56" t="s">
        <v>91</v>
      </c>
      <c r="E132" s="56" t="s">
        <v>216</v>
      </c>
      <c r="F132" s="56" t="s">
        <v>149</v>
      </c>
      <c r="G132" s="23" t="s">
        <v>167</v>
      </c>
      <c r="H132" s="56" t="s">
        <v>5</v>
      </c>
      <c r="I132" s="57">
        <v>10</v>
      </c>
      <c r="J132" s="44">
        <v>11474400000</v>
      </c>
      <c r="K132" s="44">
        <v>0</v>
      </c>
      <c r="L132" s="44"/>
      <c r="M132" s="44">
        <f>J132+K132-L132</f>
        <v>11474400000</v>
      </c>
      <c r="N132" s="44">
        <v>0</v>
      </c>
      <c r="O132" s="44">
        <v>11474399998.559999</v>
      </c>
      <c r="P132" s="44">
        <f t="shared" ref="P132:P157" si="85">+M132-O132-N132</f>
        <v>1.4400005340576172</v>
      </c>
      <c r="Q132" s="58">
        <v>11474399998.559999</v>
      </c>
      <c r="R132" s="25">
        <f t="shared" si="81"/>
        <v>0.99999999987450316</v>
      </c>
      <c r="S132" s="58">
        <v>2439750329.9000001</v>
      </c>
      <c r="T132" s="59">
        <v>2439750329.9000001</v>
      </c>
    </row>
    <row r="133" spans="1:20" ht="50.25" customHeight="1" x14ac:dyDescent="0.25">
      <c r="A133" s="95" t="s">
        <v>18</v>
      </c>
      <c r="B133" s="98" t="s">
        <v>89</v>
      </c>
      <c r="C133" s="98" t="s">
        <v>90</v>
      </c>
      <c r="D133" s="98" t="s">
        <v>6</v>
      </c>
      <c r="E133" s="98"/>
      <c r="F133" s="98"/>
      <c r="G133" s="12" t="s">
        <v>195</v>
      </c>
      <c r="H133" s="98" t="s">
        <v>5</v>
      </c>
      <c r="I133" s="99">
        <v>10</v>
      </c>
      <c r="J133" s="48">
        <f>J134</f>
        <v>300000000</v>
      </c>
      <c r="K133" s="48">
        <f t="shared" ref="K133:L133" si="86">K134</f>
        <v>0</v>
      </c>
      <c r="L133" s="48">
        <f t="shared" si="86"/>
        <v>0</v>
      </c>
      <c r="M133" s="48">
        <f>M134</f>
        <v>300000000</v>
      </c>
      <c r="N133" s="48">
        <f t="shared" ref="N133:T133" si="87">N134</f>
        <v>0</v>
      </c>
      <c r="O133" s="48">
        <f>O134</f>
        <v>288876975</v>
      </c>
      <c r="P133" s="48">
        <f>P134</f>
        <v>11123025</v>
      </c>
      <c r="Q133" s="100">
        <f t="shared" si="87"/>
        <v>288876975</v>
      </c>
      <c r="R133" s="26">
        <f t="shared" si="81"/>
        <v>0.96292325000000001</v>
      </c>
      <c r="S133" s="100">
        <f t="shared" si="87"/>
        <v>194055732.88999999</v>
      </c>
      <c r="T133" s="101">
        <f t="shared" si="87"/>
        <v>194055732.88999999</v>
      </c>
    </row>
    <row r="134" spans="1:20" ht="46.5" customHeight="1" x14ac:dyDescent="0.25">
      <c r="A134" s="94" t="s">
        <v>18</v>
      </c>
      <c r="B134" s="56" t="s">
        <v>89</v>
      </c>
      <c r="C134" s="56" t="s">
        <v>90</v>
      </c>
      <c r="D134" s="56" t="s">
        <v>6</v>
      </c>
      <c r="E134" s="56" t="s">
        <v>216</v>
      </c>
      <c r="F134" s="56" t="s">
        <v>150</v>
      </c>
      <c r="G134" s="23" t="s">
        <v>168</v>
      </c>
      <c r="H134" s="56" t="s">
        <v>5</v>
      </c>
      <c r="I134" s="57">
        <v>10</v>
      </c>
      <c r="J134" s="58">
        <v>300000000</v>
      </c>
      <c r="K134" s="44">
        <v>0</v>
      </c>
      <c r="L134" s="44"/>
      <c r="M134" s="44">
        <f t="shared" ref="M134:M160" si="88">J134+K134-L134</f>
        <v>300000000</v>
      </c>
      <c r="N134" s="113">
        <v>0</v>
      </c>
      <c r="O134" s="44">
        <v>288876975</v>
      </c>
      <c r="P134" s="44">
        <f t="shared" si="85"/>
        <v>11123025</v>
      </c>
      <c r="Q134" s="58">
        <v>288876975</v>
      </c>
      <c r="R134" s="25">
        <f t="shared" si="81"/>
        <v>0.96292325000000001</v>
      </c>
      <c r="S134" s="58">
        <v>194055732.88999999</v>
      </c>
      <c r="T134" s="59">
        <v>194055732.88999999</v>
      </c>
    </row>
    <row r="135" spans="1:20" s="102" customFormat="1" ht="51.75" customHeight="1" x14ac:dyDescent="0.25">
      <c r="A135" s="95" t="s">
        <v>18</v>
      </c>
      <c r="B135" s="98" t="s">
        <v>89</v>
      </c>
      <c r="C135" s="98" t="s">
        <v>90</v>
      </c>
      <c r="D135" s="98" t="s">
        <v>7</v>
      </c>
      <c r="E135" s="98"/>
      <c r="F135" s="98"/>
      <c r="G135" s="12" t="s">
        <v>210</v>
      </c>
      <c r="H135" s="98" t="s">
        <v>5</v>
      </c>
      <c r="I135" s="99">
        <v>10</v>
      </c>
      <c r="J135" s="100">
        <f>J136+J137+J138</f>
        <v>4994096000</v>
      </c>
      <c r="K135" s="48">
        <f t="shared" ref="K135:N135" si="89">K136+K137+K138</f>
        <v>25241646</v>
      </c>
      <c r="L135" s="48">
        <f t="shared" si="89"/>
        <v>25241646</v>
      </c>
      <c r="M135" s="48">
        <f>M136+M137+M138</f>
        <v>4994096000</v>
      </c>
      <c r="N135" s="48">
        <f t="shared" si="89"/>
        <v>0</v>
      </c>
      <c r="O135" s="48">
        <f>O136+O137+O138</f>
        <v>4973569798</v>
      </c>
      <c r="P135" s="48">
        <f>P136+P137+P138</f>
        <v>20526202</v>
      </c>
      <c r="Q135" s="48">
        <f>Q136+Q137+Q138</f>
        <v>4973569798</v>
      </c>
      <c r="R135" s="26">
        <f t="shared" si="81"/>
        <v>0.9958899064014789</v>
      </c>
      <c r="S135" s="48">
        <f>S136+S137+S138</f>
        <v>1992709307</v>
      </c>
      <c r="T135" s="101">
        <f>T136+T137+T138</f>
        <v>1992709307</v>
      </c>
    </row>
    <row r="136" spans="1:20" ht="65.25" customHeight="1" x14ac:dyDescent="0.25">
      <c r="A136" s="94" t="s">
        <v>18</v>
      </c>
      <c r="B136" s="56" t="s">
        <v>89</v>
      </c>
      <c r="C136" s="56" t="s">
        <v>90</v>
      </c>
      <c r="D136" s="56" t="s">
        <v>7</v>
      </c>
      <c r="E136" s="56" t="s">
        <v>217</v>
      </c>
      <c r="F136" s="56" t="s">
        <v>151</v>
      </c>
      <c r="G136" s="23" t="s">
        <v>169</v>
      </c>
      <c r="H136" s="56" t="s">
        <v>5</v>
      </c>
      <c r="I136" s="57">
        <v>10</v>
      </c>
      <c r="J136" s="44">
        <v>1818315235</v>
      </c>
      <c r="K136" s="44">
        <v>0</v>
      </c>
      <c r="L136" s="44"/>
      <c r="M136" s="44">
        <f t="shared" si="88"/>
        <v>1818315235</v>
      </c>
      <c r="N136" s="44">
        <v>0</v>
      </c>
      <c r="O136" s="44">
        <v>1815916773</v>
      </c>
      <c r="P136" s="44">
        <f t="shared" si="85"/>
        <v>2398462</v>
      </c>
      <c r="Q136" s="58">
        <v>1815916773</v>
      </c>
      <c r="R136" s="25">
        <f t="shared" si="81"/>
        <v>0.99868094269143604</v>
      </c>
      <c r="S136" s="58">
        <v>102419016</v>
      </c>
      <c r="T136" s="59">
        <v>102419016</v>
      </c>
    </row>
    <row r="137" spans="1:20" ht="76.5" customHeight="1" x14ac:dyDescent="0.25">
      <c r="A137" s="94" t="s">
        <v>18</v>
      </c>
      <c r="B137" s="56" t="s">
        <v>89</v>
      </c>
      <c r="C137" s="56" t="s">
        <v>90</v>
      </c>
      <c r="D137" s="56" t="s">
        <v>7</v>
      </c>
      <c r="E137" s="56" t="s">
        <v>217</v>
      </c>
      <c r="F137" s="56" t="s">
        <v>152</v>
      </c>
      <c r="G137" s="23" t="s">
        <v>170</v>
      </c>
      <c r="H137" s="56" t="s">
        <v>5</v>
      </c>
      <c r="I137" s="57">
        <v>10</v>
      </c>
      <c r="J137" s="44">
        <v>2064577180</v>
      </c>
      <c r="K137" s="44"/>
      <c r="L137" s="44">
        <v>25241646</v>
      </c>
      <c r="M137" s="44">
        <f t="shared" si="88"/>
        <v>2039335534</v>
      </c>
      <c r="N137" s="44">
        <v>0</v>
      </c>
      <c r="O137" s="44">
        <v>2021207794</v>
      </c>
      <c r="P137" s="44">
        <f t="shared" ref="P137:P138" si="90">+M137-O137-N137</f>
        <v>18127740</v>
      </c>
      <c r="Q137" s="58">
        <v>2021207794</v>
      </c>
      <c r="R137" s="25">
        <f t="shared" si="81"/>
        <v>0.99111095761449131</v>
      </c>
      <c r="S137" s="58">
        <v>1736562784</v>
      </c>
      <c r="T137" s="59">
        <v>1736562784</v>
      </c>
    </row>
    <row r="138" spans="1:20" ht="63.75" customHeight="1" x14ac:dyDescent="0.25">
      <c r="A138" s="94" t="s">
        <v>18</v>
      </c>
      <c r="B138" s="56" t="s">
        <v>89</v>
      </c>
      <c r="C138" s="56" t="s">
        <v>90</v>
      </c>
      <c r="D138" s="56" t="s">
        <v>7</v>
      </c>
      <c r="E138" s="56" t="s">
        <v>217</v>
      </c>
      <c r="F138" s="56" t="s">
        <v>153</v>
      </c>
      <c r="G138" s="23" t="s">
        <v>171</v>
      </c>
      <c r="H138" s="56" t="s">
        <v>5</v>
      </c>
      <c r="I138" s="57">
        <v>10</v>
      </c>
      <c r="J138" s="44">
        <v>1111203585</v>
      </c>
      <c r="K138" s="44">
        <v>25241646</v>
      </c>
      <c r="L138" s="44">
        <v>0</v>
      </c>
      <c r="M138" s="44">
        <f t="shared" si="88"/>
        <v>1136445231</v>
      </c>
      <c r="N138" s="44">
        <v>0</v>
      </c>
      <c r="O138" s="44">
        <v>1136445231</v>
      </c>
      <c r="P138" s="44">
        <f t="shared" si="90"/>
        <v>0</v>
      </c>
      <c r="Q138" s="58">
        <v>1136445231</v>
      </c>
      <c r="R138" s="25">
        <f t="shared" si="81"/>
        <v>1</v>
      </c>
      <c r="S138" s="58">
        <v>153727507</v>
      </c>
      <c r="T138" s="59">
        <v>153727507</v>
      </c>
    </row>
    <row r="139" spans="1:20" ht="49.5" customHeight="1" x14ac:dyDescent="0.25">
      <c r="A139" s="95" t="s">
        <v>18</v>
      </c>
      <c r="B139" s="98" t="s">
        <v>89</v>
      </c>
      <c r="C139" s="98" t="s">
        <v>90</v>
      </c>
      <c r="D139" s="98" t="s">
        <v>92</v>
      </c>
      <c r="E139" s="98"/>
      <c r="F139" s="98"/>
      <c r="G139" s="12" t="s">
        <v>196</v>
      </c>
      <c r="H139" s="98" t="s">
        <v>5</v>
      </c>
      <c r="I139" s="99">
        <v>10</v>
      </c>
      <c r="J139" s="48">
        <f>J141</f>
        <v>4917600000</v>
      </c>
      <c r="K139" s="48">
        <f t="shared" ref="K139:T139" si="91">K141</f>
        <v>0</v>
      </c>
      <c r="L139" s="48">
        <f t="shared" si="91"/>
        <v>0</v>
      </c>
      <c r="M139" s="48">
        <f>M141</f>
        <v>4917600000</v>
      </c>
      <c r="N139" s="48">
        <f t="shared" si="91"/>
        <v>0</v>
      </c>
      <c r="O139" s="48">
        <f t="shared" si="91"/>
        <v>4906543299</v>
      </c>
      <c r="P139" s="48">
        <f>P141</f>
        <v>11056701</v>
      </c>
      <c r="Q139" s="48">
        <f t="shared" si="91"/>
        <v>4906543299</v>
      </c>
      <c r="R139" s="26">
        <f t="shared" si="81"/>
        <v>0.99775160627135184</v>
      </c>
      <c r="S139" s="100">
        <f t="shared" si="91"/>
        <v>4324880671</v>
      </c>
      <c r="T139" s="101">
        <f t="shared" si="91"/>
        <v>4324880671</v>
      </c>
    </row>
    <row r="140" spans="1:20" ht="49.5" customHeight="1" x14ac:dyDescent="0.25">
      <c r="A140" s="95" t="s">
        <v>18</v>
      </c>
      <c r="B140" s="98" t="s">
        <v>89</v>
      </c>
      <c r="C140" s="98" t="s">
        <v>90</v>
      </c>
      <c r="D140" s="98" t="s">
        <v>92</v>
      </c>
      <c r="E140" s="98"/>
      <c r="F140" s="98"/>
      <c r="G140" s="12" t="s">
        <v>196</v>
      </c>
      <c r="H140" s="98" t="s">
        <v>8</v>
      </c>
      <c r="I140" s="99">
        <v>21</v>
      </c>
      <c r="J140" s="48">
        <f>J142</f>
        <v>2880000</v>
      </c>
      <c r="K140" s="48">
        <f t="shared" ref="K140:T140" si="92">K142</f>
        <v>0</v>
      </c>
      <c r="L140" s="48">
        <f t="shared" si="92"/>
        <v>0</v>
      </c>
      <c r="M140" s="48">
        <f t="shared" si="92"/>
        <v>2880000</v>
      </c>
      <c r="N140" s="48">
        <f t="shared" si="92"/>
        <v>0</v>
      </c>
      <c r="O140" s="48">
        <f t="shared" si="92"/>
        <v>2880000</v>
      </c>
      <c r="P140" s="48">
        <f>P142</f>
        <v>0</v>
      </c>
      <c r="Q140" s="100">
        <f t="shared" si="92"/>
        <v>2880000</v>
      </c>
      <c r="R140" s="26">
        <f t="shared" si="81"/>
        <v>1</v>
      </c>
      <c r="S140" s="100">
        <f t="shared" si="92"/>
        <v>363150</v>
      </c>
      <c r="T140" s="101">
        <f t="shared" si="92"/>
        <v>363150</v>
      </c>
    </row>
    <row r="141" spans="1:20" ht="33.75" customHeight="1" x14ac:dyDescent="0.25">
      <c r="A141" s="94" t="s">
        <v>18</v>
      </c>
      <c r="B141" s="56" t="s">
        <v>89</v>
      </c>
      <c r="C141" s="56" t="s">
        <v>90</v>
      </c>
      <c r="D141" s="56" t="s">
        <v>92</v>
      </c>
      <c r="E141" s="56" t="s">
        <v>143</v>
      </c>
      <c r="F141" s="56" t="s">
        <v>147</v>
      </c>
      <c r="G141" s="23" t="s">
        <v>172</v>
      </c>
      <c r="H141" s="56" t="s">
        <v>5</v>
      </c>
      <c r="I141" s="57">
        <v>10</v>
      </c>
      <c r="J141" s="58">
        <v>4917600000</v>
      </c>
      <c r="K141" s="58">
        <v>0</v>
      </c>
      <c r="L141" s="44">
        <v>0</v>
      </c>
      <c r="M141" s="44">
        <f t="shared" si="88"/>
        <v>4917600000</v>
      </c>
      <c r="N141" s="44">
        <v>0</v>
      </c>
      <c r="O141" s="44">
        <v>4906543299</v>
      </c>
      <c r="P141" s="44">
        <f t="shared" si="85"/>
        <v>11056701</v>
      </c>
      <c r="Q141" s="58">
        <v>4906543299</v>
      </c>
      <c r="R141" s="25">
        <f t="shared" si="81"/>
        <v>0.99775160627135184</v>
      </c>
      <c r="S141" s="58">
        <v>4324880671</v>
      </c>
      <c r="T141" s="59">
        <v>4324880671</v>
      </c>
    </row>
    <row r="142" spans="1:20" ht="41.25" customHeight="1" x14ac:dyDescent="0.25">
      <c r="A142" s="94" t="s">
        <v>18</v>
      </c>
      <c r="B142" s="56" t="s">
        <v>89</v>
      </c>
      <c r="C142" s="56" t="s">
        <v>90</v>
      </c>
      <c r="D142" s="56" t="s">
        <v>92</v>
      </c>
      <c r="E142" s="56" t="s">
        <v>143</v>
      </c>
      <c r="F142" s="56" t="s">
        <v>148</v>
      </c>
      <c r="G142" s="23" t="s">
        <v>173</v>
      </c>
      <c r="H142" s="56" t="s">
        <v>8</v>
      </c>
      <c r="I142" s="57">
        <v>21</v>
      </c>
      <c r="J142" s="58">
        <v>2880000</v>
      </c>
      <c r="K142" s="58">
        <v>0</v>
      </c>
      <c r="L142" s="44">
        <v>0</v>
      </c>
      <c r="M142" s="44">
        <f t="shared" si="88"/>
        <v>2880000</v>
      </c>
      <c r="N142" s="44">
        <v>0</v>
      </c>
      <c r="O142" s="44">
        <v>2880000</v>
      </c>
      <c r="P142" s="44">
        <f t="shared" si="85"/>
        <v>0</v>
      </c>
      <c r="Q142" s="58">
        <v>2880000</v>
      </c>
      <c r="R142" s="25">
        <f t="shared" si="81"/>
        <v>1</v>
      </c>
      <c r="S142" s="58">
        <v>363150</v>
      </c>
      <c r="T142" s="59">
        <v>363150</v>
      </c>
    </row>
    <row r="143" spans="1:20" ht="51.75" customHeight="1" x14ac:dyDescent="0.25">
      <c r="A143" s="95" t="s">
        <v>18</v>
      </c>
      <c r="B143" s="98" t="s">
        <v>89</v>
      </c>
      <c r="C143" s="98" t="s">
        <v>90</v>
      </c>
      <c r="D143" s="98" t="s">
        <v>93</v>
      </c>
      <c r="E143" s="98"/>
      <c r="F143" s="98"/>
      <c r="G143" s="12" t="s">
        <v>197</v>
      </c>
      <c r="H143" s="98" t="s">
        <v>5</v>
      </c>
      <c r="I143" s="99">
        <v>10</v>
      </c>
      <c r="J143" s="100">
        <f>J144+J145+J146</f>
        <v>4764608000</v>
      </c>
      <c r="K143" s="100">
        <f>K144+K145+K146</f>
        <v>0</v>
      </c>
      <c r="L143" s="48">
        <f>L144+L145+L146</f>
        <v>0</v>
      </c>
      <c r="M143" s="48">
        <f t="shared" ref="M143:T143" si="93">M144+M145+M146</f>
        <v>4764608000</v>
      </c>
      <c r="N143" s="48">
        <f t="shared" si="93"/>
        <v>0</v>
      </c>
      <c r="O143" s="48">
        <f t="shared" si="93"/>
        <v>4725534046.2700005</v>
      </c>
      <c r="P143" s="48">
        <f>P144+P145+P146</f>
        <v>39073953.730000019</v>
      </c>
      <c r="Q143" s="100">
        <f t="shared" si="93"/>
        <v>4725534046.2700005</v>
      </c>
      <c r="R143" s="26">
        <f t="shared" si="81"/>
        <v>0.99179912518931268</v>
      </c>
      <c r="S143" s="100">
        <f t="shared" si="93"/>
        <v>3044622297</v>
      </c>
      <c r="T143" s="101">
        <f t="shared" si="93"/>
        <v>3044622297</v>
      </c>
    </row>
    <row r="144" spans="1:20" ht="58.5" customHeight="1" x14ac:dyDescent="0.25">
      <c r="A144" s="94" t="s">
        <v>18</v>
      </c>
      <c r="B144" s="56" t="s">
        <v>89</v>
      </c>
      <c r="C144" s="56" t="s">
        <v>90</v>
      </c>
      <c r="D144" s="56" t="s">
        <v>93</v>
      </c>
      <c r="E144" s="56" t="s">
        <v>218</v>
      </c>
      <c r="F144" s="56" t="s">
        <v>154</v>
      </c>
      <c r="G144" s="23" t="s">
        <v>174</v>
      </c>
      <c r="H144" s="56" t="s">
        <v>5</v>
      </c>
      <c r="I144" s="57">
        <v>10</v>
      </c>
      <c r="J144" s="44">
        <v>3205330979</v>
      </c>
      <c r="K144" s="44"/>
      <c r="L144" s="44">
        <v>0</v>
      </c>
      <c r="M144" s="44">
        <f t="shared" si="88"/>
        <v>3205330979</v>
      </c>
      <c r="N144" s="44">
        <v>0</v>
      </c>
      <c r="O144" s="44">
        <v>3205330948</v>
      </c>
      <c r="P144" s="44">
        <f t="shared" si="85"/>
        <v>31</v>
      </c>
      <c r="Q144" s="58">
        <v>3205330948</v>
      </c>
      <c r="R144" s="25">
        <f t="shared" si="81"/>
        <v>0.99999999032861187</v>
      </c>
      <c r="S144" s="58">
        <v>3044622297</v>
      </c>
      <c r="T144" s="59">
        <v>3044622297</v>
      </c>
    </row>
    <row r="145" spans="1:20" ht="57.75" customHeight="1" x14ac:dyDescent="0.25">
      <c r="A145" s="94" t="s">
        <v>18</v>
      </c>
      <c r="B145" s="56" t="s">
        <v>89</v>
      </c>
      <c r="C145" s="56" t="s">
        <v>90</v>
      </c>
      <c r="D145" s="56" t="s">
        <v>93</v>
      </c>
      <c r="E145" s="56" t="s">
        <v>218</v>
      </c>
      <c r="F145" s="56" t="s">
        <v>155</v>
      </c>
      <c r="G145" s="23" t="s">
        <v>175</v>
      </c>
      <c r="H145" s="56" t="s">
        <v>5</v>
      </c>
      <c r="I145" s="57">
        <v>10</v>
      </c>
      <c r="J145" s="44">
        <v>1323487621</v>
      </c>
      <c r="K145" s="44">
        <v>0</v>
      </c>
      <c r="L145" s="44"/>
      <c r="M145" s="44">
        <f t="shared" si="88"/>
        <v>1323487621</v>
      </c>
      <c r="N145" s="44">
        <v>0</v>
      </c>
      <c r="O145" s="44">
        <v>1284413698.27</v>
      </c>
      <c r="P145" s="44">
        <f t="shared" ref="P145:P146" si="94">+M145-O145-N145</f>
        <v>39073922.730000019</v>
      </c>
      <c r="Q145" s="44">
        <v>1284413698.27</v>
      </c>
      <c r="R145" s="25">
        <f t="shared" si="81"/>
        <v>0.97047654839379871</v>
      </c>
      <c r="S145" s="58">
        <v>0</v>
      </c>
      <c r="T145" s="59">
        <v>0</v>
      </c>
    </row>
    <row r="146" spans="1:20" ht="57" customHeight="1" x14ac:dyDescent="0.25">
      <c r="A146" s="94" t="s">
        <v>18</v>
      </c>
      <c r="B146" s="56" t="s">
        <v>89</v>
      </c>
      <c r="C146" s="56" t="s">
        <v>90</v>
      </c>
      <c r="D146" s="56" t="s">
        <v>93</v>
      </c>
      <c r="E146" s="56" t="s">
        <v>218</v>
      </c>
      <c r="F146" s="56" t="s">
        <v>156</v>
      </c>
      <c r="G146" s="23" t="s">
        <v>176</v>
      </c>
      <c r="H146" s="56" t="s">
        <v>5</v>
      </c>
      <c r="I146" s="57">
        <v>10</v>
      </c>
      <c r="J146" s="44">
        <v>235789400</v>
      </c>
      <c r="K146" s="44">
        <v>0</v>
      </c>
      <c r="L146" s="44"/>
      <c r="M146" s="44">
        <f t="shared" si="88"/>
        <v>235789400</v>
      </c>
      <c r="N146" s="44">
        <v>0</v>
      </c>
      <c r="O146" s="44">
        <v>235789400</v>
      </c>
      <c r="P146" s="44">
        <f t="shared" si="94"/>
        <v>0</v>
      </c>
      <c r="Q146" s="58">
        <v>235789400</v>
      </c>
      <c r="R146" s="25">
        <f t="shared" si="81"/>
        <v>1</v>
      </c>
      <c r="S146" s="58">
        <v>0</v>
      </c>
      <c r="T146" s="59">
        <v>0</v>
      </c>
    </row>
    <row r="147" spans="1:20" ht="48" customHeight="1" x14ac:dyDescent="0.25">
      <c r="A147" s="95" t="s">
        <v>18</v>
      </c>
      <c r="B147" s="98" t="s">
        <v>89</v>
      </c>
      <c r="C147" s="98" t="s">
        <v>90</v>
      </c>
      <c r="D147" s="98" t="s">
        <v>94</v>
      </c>
      <c r="E147" s="98"/>
      <c r="F147" s="98"/>
      <c r="G147" s="12" t="s">
        <v>198</v>
      </c>
      <c r="H147" s="98" t="s">
        <v>5</v>
      </c>
      <c r="I147" s="99">
        <v>10</v>
      </c>
      <c r="J147" s="48">
        <f>J149+J150</f>
        <v>9851592000</v>
      </c>
      <c r="K147" s="48">
        <f t="shared" ref="K147:Q147" si="95">K149+K150</f>
        <v>0</v>
      </c>
      <c r="L147" s="48">
        <f t="shared" si="95"/>
        <v>0</v>
      </c>
      <c r="M147" s="48">
        <f t="shared" si="95"/>
        <v>9851592000</v>
      </c>
      <c r="N147" s="48">
        <f t="shared" si="95"/>
        <v>0</v>
      </c>
      <c r="O147" s="48">
        <f t="shared" si="95"/>
        <v>9838655559.0100002</v>
      </c>
      <c r="P147" s="48">
        <f t="shared" si="95"/>
        <v>12936440.989999771</v>
      </c>
      <c r="Q147" s="100">
        <f t="shared" si="95"/>
        <v>9838655559.0100002</v>
      </c>
      <c r="R147" s="26">
        <f t="shared" si="81"/>
        <v>0.99868686797118678</v>
      </c>
      <c r="S147" s="100">
        <f t="shared" ref="S147:T147" si="96">S149+S150</f>
        <v>1666700935.75</v>
      </c>
      <c r="T147" s="101">
        <f t="shared" si="96"/>
        <v>1666700935.75</v>
      </c>
    </row>
    <row r="148" spans="1:20" ht="46.5" customHeight="1" x14ac:dyDescent="0.25">
      <c r="A148" s="95" t="s">
        <v>18</v>
      </c>
      <c r="B148" s="98" t="s">
        <v>89</v>
      </c>
      <c r="C148" s="98" t="s">
        <v>90</v>
      </c>
      <c r="D148" s="98" t="s">
        <v>94</v>
      </c>
      <c r="E148" s="98"/>
      <c r="F148" s="98"/>
      <c r="G148" s="117" t="s">
        <v>198</v>
      </c>
      <c r="H148" s="98" t="s">
        <v>5</v>
      </c>
      <c r="I148" s="99">
        <v>21</v>
      </c>
      <c r="J148" s="100">
        <f>J151</f>
        <v>1191767000</v>
      </c>
      <c r="K148" s="100">
        <f t="shared" ref="K148:Q148" si="97">K151</f>
        <v>0</v>
      </c>
      <c r="L148" s="48">
        <f t="shared" si="97"/>
        <v>0</v>
      </c>
      <c r="M148" s="48">
        <f t="shared" si="97"/>
        <v>1191767000</v>
      </c>
      <c r="N148" s="48">
        <f t="shared" si="97"/>
        <v>0</v>
      </c>
      <c r="O148" s="48">
        <f t="shared" si="97"/>
        <v>1191767000</v>
      </c>
      <c r="P148" s="48">
        <f t="shared" si="97"/>
        <v>0</v>
      </c>
      <c r="Q148" s="100">
        <f t="shared" si="97"/>
        <v>1191767000</v>
      </c>
      <c r="R148" s="26">
        <f t="shared" si="81"/>
        <v>1</v>
      </c>
      <c r="S148" s="100">
        <f t="shared" ref="S148:T148" si="98">S151</f>
        <v>0</v>
      </c>
      <c r="T148" s="101">
        <f t="shared" si="98"/>
        <v>0</v>
      </c>
    </row>
    <row r="149" spans="1:20" ht="46.5" customHeight="1" x14ac:dyDescent="0.25">
      <c r="A149" s="94" t="s">
        <v>18</v>
      </c>
      <c r="B149" s="56" t="s">
        <v>89</v>
      </c>
      <c r="C149" s="56" t="s">
        <v>90</v>
      </c>
      <c r="D149" s="56" t="s">
        <v>94</v>
      </c>
      <c r="E149" s="56" t="s">
        <v>216</v>
      </c>
      <c r="F149" s="56" t="s">
        <v>157</v>
      </c>
      <c r="G149" s="23" t="s">
        <v>177</v>
      </c>
      <c r="H149" s="56" t="s">
        <v>5</v>
      </c>
      <c r="I149" s="57">
        <v>10</v>
      </c>
      <c r="J149" s="58">
        <v>4332952000</v>
      </c>
      <c r="K149" s="58">
        <v>0</v>
      </c>
      <c r="L149" s="44"/>
      <c r="M149" s="44">
        <f>J149+K149-L149</f>
        <v>4332952000</v>
      </c>
      <c r="N149" s="44">
        <v>0</v>
      </c>
      <c r="O149" s="44">
        <v>4330281145.1199999</v>
      </c>
      <c r="P149" s="44">
        <f>+M149-O149-N149</f>
        <v>2670854.8800001144</v>
      </c>
      <c r="Q149" s="58">
        <v>4330281145.1199999</v>
      </c>
      <c r="R149" s="25">
        <f t="shared" si="81"/>
        <v>0.99938359463017357</v>
      </c>
      <c r="S149" s="58">
        <v>232077130</v>
      </c>
      <c r="T149" s="59">
        <v>232077130</v>
      </c>
    </row>
    <row r="150" spans="1:20" ht="41.25" customHeight="1" x14ac:dyDescent="0.25">
      <c r="A150" s="94" t="s">
        <v>18</v>
      </c>
      <c r="B150" s="56" t="s">
        <v>89</v>
      </c>
      <c r="C150" s="56" t="s">
        <v>90</v>
      </c>
      <c r="D150" s="56" t="s">
        <v>94</v>
      </c>
      <c r="E150" s="56" t="s">
        <v>216</v>
      </c>
      <c r="F150" s="56" t="s">
        <v>158</v>
      </c>
      <c r="G150" s="23" t="s">
        <v>178</v>
      </c>
      <c r="H150" s="56" t="s">
        <v>5</v>
      </c>
      <c r="I150" s="57">
        <v>10</v>
      </c>
      <c r="J150" s="44">
        <v>5518640000</v>
      </c>
      <c r="K150" s="44"/>
      <c r="L150" s="44"/>
      <c r="M150" s="44">
        <f>J150+K150-L150</f>
        <v>5518640000</v>
      </c>
      <c r="N150" s="44">
        <v>0</v>
      </c>
      <c r="O150" s="44">
        <v>5508374413.8900003</v>
      </c>
      <c r="P150" s="44">
        <f>+M150-O150-N150</f>
        <v>10265586.109999657</v>
      </c>
      <c r="Q150" s="58">
        <v>5508374413.8900003</v>
      </c>
      <c r="R150" s="25">
        <f t="shared" si="81"/>
        <v>0.99813983406962592</v>
      </c>
      <c r="S150" s="58">
        <v>1434623805.75</v>
      </c>
      <c r="T150" s="59">
        <v>1434623805.75</v>
      </c>
    </row>
    <row r="151" spans="1:20" ht="41.25" customHeight="1" x14ac:dyDescent="0.25">
      <c r="A151" s="94" t="s">
        <v>18</v>
      </c>
      <c r="B151" s="56" t="s">
        <v>89</v>
      </c>
      <c r="C151" s="56" t="s">
        <v>90</v>
      </c>
      <c r="D151" s="56" t="s">
        <v>94</v>
      </c>
      <c r="E151" s="56" t="s">
        <v>216</v>
      </c>
      <c r="F151" s="56" t="s">
        <v>157</v>
      </c>
      <c r="G151" s="23" t="s">
        <v>177</v>
      </c>
      <c r="H151" s="56" t="s">
        <v>8</v>
      </c>
      <c r="I151" s="57">
        <v>21</v>
      </c>
      <c r="J151" s="44">
        <v>1191767000</v>
      </c>
      <c r="K151" s="44">
        <v>0</v>
      </c>
      <c r="L151" s="44"/>
      <c r="M151" s="44">
        <f t="shared" si="88"/>
        <v>1191767000</v>
      </c>
      <c r="N151" s="44">
        <v>0</v>
      </c>
      <c r="O151" s="44">
        <v>1191767000</v>
      </c>
      <c r="P151" s="44">
        <f t="shared" ref="P151" si="99">+M151-O151-N151</f>
        <v>0</v>
      </c>
      <c r="Q151" s="58">
        <v>1191767000</v>
      </c>
      <c r="R151" s="25">
        <f t="shared" si="81"/>
        <v>1</v>
      </c>
      <c r="S151" s="115">
        <v>0</v>
      </c>
      <c r="T151" s="59">
        <v>0</v>
      </c>
    </row>
    <row r="152" spans="1:20" s="102" customFormat="1" ht="41.25" customHeight="1" x14ac:dyDescent="0.25">
      <c r="A152" s="95" t="s">
        <v>18</v>
      </c>
      <c r="B152" s="98" t="s">
        <v>89</v>
      </c>
      <c r="C152" s="98" t="s">
        <v>90</v>
      </c>
      <c r="D152" s="98" t="s">
        <v>95</v>
      </c>
      <c r="E152" s="98"/>
      <c r="F152" s="98"/>
      <c r="G152" s="117" t="s">
        <v>211</v>
      </c>
      <c r="H152" s="98" t="s">
        <v>5</v>
      </c>
      <c r="I152" s="99">
        <v>10</v>
      </c>
      <c r="J152" s="48">
        <f>J153+J154+J155</f>
        <v>1900000000</v>
      </c>
      <c r="K152" s="48">
        <f>K153+K154+K155</f>
        <v>65000000</v>
      </c>
      <c r="L152" s="48">
        <f t="shared" ref="L152:T152" si="100">L153+L154+L155</f>
        <v>335885545</v>
      </c>
      <c r="M152" s="48">
        <f t="shared" si="100"/>
        <v>1629114455</v>
      </c>
      <c r="N152" s="48">
        <f t="shared" si="100"/>
        <v>0</v>
      </c>
      <c r="O152" s="48">
        <f t="shared" si="100"/>
        <v>1629114455</v>
      </c>
      <c r="P152" s="48">
        <f>P153+P154+P155</f>
        <v>0</v>
      </c>
      <c r="Q152" s="100">
        <f t="shared" si="100"/>
        <v>1629114455</v>
      </c>
      <c r="R152" s="26">
        <f t="shared" si="81"/>
        <v>1</v>
      </c>
      <c r="S152" s="100">
        <f t="shared" si="100"/>
        <v>146226327</v>
      </c>
      <c r="T152" s="101">
        <f t="shared" si="100"/>
        <v>146226327</v>
      </c>
    </row>
    <row r="153" spans="1:20" s="47" customFormat="1" ht="55.5" customHeight="1" x14ac:dyDescent="0.25">
      <c r="A153" s="94" t="s">
        <v>18</v>
      </c>
      <c r="B153" s="56" t="s">
        <v>89</v>
      </c>
      <c r="C153" s="56" t="s">
        <v>90</v>
      </c>
      <c r="D153" s="56" t="s">
        <v>95</v>
      </c>
      <c r="E153" s="56" t="s">
        <v>216</v>
      </c>
      <c r="F153" s="56" t="s">
        <v>159</v>
      </c>
      <c r="G153" s="23" t="s">
        <v>179</v>
      </c>
      <c r="H153" s="56" t="s">
        <v>5</v>
      </c>
      <c r="I153" s="57">
        <v>10</v>
      </c>
      <c r="J153" s="58">
        <v>440000000</v>
      </c>
      <c r="K153" s="44">
        <v>0</v>
      </c>
      <c r="L153" s="44">
        <v>85095046</v>
      </c>
      <c r="M153" s="44">
        <f t="shared" si="88"/>
        <v>354904954</v>
      </c>
      <c r="N153" s="113">
        <v>0</v>
      </c>
      <c r="O153" s="44">
        <v>354904954</v>
      </c>
      <c r="P153" s="113">
        <f t="shared" si="85"/>
        <v>0</v>
      </c>
      <c r="Q153" s="58">
        <v>354904954</v>
      </c>
      <c r="R153" s="25">
        <f t="shared" si="81"/>
        <v>1</v>
      </c>
      <c r="S153" s="58">
        <v>104000000</v>
      </c>
      <c r="T153" s="59">
        <v>104000000</v>
      </c>
    </row>
    <row r="154" spans="1:20" s="47" customFormat="1" ht="48" customHeight="1" x14ac:dyDescent="0.25">
      <c r="A154" s="94" t="s">
        <v>18</v>
      </c>
      <c r="B154" s="56" t="s">
        <v>89</v>
      </c>
      <c r="C154" s="56" t="s">
        <v>90</v>
      </c>
      <c r="D154" s="56" t="s">
        <v>95</v>
      </c>
      <c r="E154" s="56" t="s">
        <v>216</v>
      </c>
      <c r="F154" s="56" t="s">
        <v>160</v>
      </c>
      <c r="G154" s="23" t="s">
        <v>180</v>
      </c>
      <c r="H154" s="56" t="s">
        <v>5</v>
      </c>
      <c r="I154" s="57">
        <v>10</v>
      </c>
      <c r="J154" s="58">
        <v>1300000000</v>
      </c>
      <c r="K154" s="44">
        <v>65000000</v>
      </c>
      <c r="L154" s="44">
        <v>218614499</v>
      </c>
      <c r="M154" s="44">
        <f t="shared" si="88"/>
        <v>1146385501</v>
      </c>
      <c r="N154" s="113">
        <v>0</v>
      </c>
      <c r="O154" s="44">
        <v>1146385501</v>
      </c>
      <c r="P154" s="113">
        <f t="shared" ref="P154:P155" si="101">+M154-O154-N154</f>
        <v>0</v>
      </c>
      <c r="Q154" s="58">
        <v>1146385501</v>
      </c>
      <c r="R154" s="25">
        <f t="shared" si="81"/>
        <v>1</v>
      </c>
      <c r="S154" s="58">
        <v>0</v>
      </c>
      <c r="T154" s="59">
        <v>0</v>
      </c>
    </row>
    <row r="155" spans="1:20" s="47" customFormat="1" ht="42.75" customHeight="1" x14ac:dyDescent="0.25">
      <c r="A155" s="94" t="s">
        <v>18</v>
      </c>
      <c r="B155" s="56" t="s">
        <v>89</v>
      </c>
      <c r="C155" s="56" t="s">
        <v>90</v>
      </c>
      <c r="D155" s="56" t="s">
        <v>95</v>
      </c>
      <c r="E155" s="56" t="s">
        <v>216</v>
      </c>
      <c r="F155" s="56" t="s">
        <v>161</v>
      </c>
      <c r="G155" s="23" t="s">
        <v>181</v>
      </c>
      <c r="H155" s="56" t="s">
        <v>5</v>
      </c>
      <c r="I155" s="57">
        <v>10</v>
      </c>
      <c r="J155" s="58">
        <v>160000000</v>
      </c>
      <c r="K155" s="44">
        <v>0</v>
      </c>
      <c r="L155" s="44">
        <v>32176000</v>
      </c>
      <c r="M155" s="44">
        <f t="shared" si="88"/>
        <v>127824000</v>
      </c>
      <c r="N155" s="113">
        <v>0</v>
      </c>
      <c r="O155" s="44">
        <v>127824000</v>
      </c>
      <c r="P155" s="113">
        <f t="shared" si="101"/>
        <v>0</v>
      </c>
      <c r="Q155" s="58">
        <v>127824000</v>
      </c>
      <c r="R155" s="25">
        <f t="shared" si="81"/>
        <v>1</v>
      </c>
      <c r="S155" s="58">
        <v>42226327</v>
      </c>
      <c r="T155" s="59">
        <v>42226327</v>
      </c>
    </row>
    <row r="156" spans="1:20" s="47" customFormat="1" ht="42.75" customHeight="1" x14ac:dyDescent="0.25">
      <c r="A156" s="95" t="s">
        <v>18</v>
      </c>
      <c r="B156" s="98" t="s">
        <v>89</v>
      </c>
      <c r="C156" s="98" t="s">
        <v>90</v>
      </c>
      <c r="D156" s="98">
        <v>16</v>
      </c>
      <c r="E156" s="98"/>
      <c r="F156" s="98"/>
      <c r="G156" s="12" t="s">
        <v>199</v>
      </c>
      <c r="H156" s="98" t="s">
        <v>5</v>
      </c>
      <c r="I156" s="99">
        <v>10</v>
      </c>
      <c r="J156" s="100">
        <f>J157+J158+J159+J160</f>
        <v>21856000000</v>
      </c>
      <c r="K156" s="48">
        <f t="shared" ref="K156:T156" si="102">K157+K158+K159+K160</f>
        <v>0</v>
      </c>
      <c r="L156" s="48">
        <f t="shared" si="102"/>
        <v>222948567</v>
      </c>
      <c r="M156" s="48">
        <f>M157+M158+M159+M160</f>
        <v>21633051433</v>
      </c>
      <c r="N156" s="48">
        <f t="shared" si="102"/>
        <v>0</v>
      </c>
      <c r="O156" s="48">
        <f t="shared" si="102"/>
        <v>21624621607.119999</v>
      </c>
      <c r="P156" s="48">
        <f>P157+P158+P159+P160</f>
        <v>8429825.8799993992</v>
      </c>
      <c r="Q156" s="48">
        <f>Q157+Q158+Q159+Q160</f>
        <v>21624621607.119999</v>
      </c>
      <c r="R156" s="26">
        <f t="shared" si="81"/>
        <v>0.9996103265456513</v>
      </c>
      <c r="S156" s="100">
        <f t="shared" si="102"/>
        <v>4462541241</v>
      </c>
      <c r="T156" s="101">
        <f t="shared" si="102"/>
        <v>4462541241</v>
      </c>
    </row>
    <row r="157" spans="1:20" s="47" customFormat="1" ht="56.25" customHeight="1" x14ac:dyDescent="0.25">
      <c r="A157" s="94" t="s">
        <v>18</v>
      </c>
      <c r="B157" s="56" t="s">
        <v>89</v>
      </c>
      <c r="C157" s="56" t="s">
        <v>90</v>
      </c>
      <c r="D157" s="56">
        <v>16</v>
      </c>
      <c r="E157" s="56" t="s">
        <v>218</v>
      </c>
      <c r="F157" s="56" t="s">
        <v>149</v>
      </c>
      <c r="G157" s="23" t="s">
        <v>182</v>
      </c>
      <c r="H157" s="56" t="s">
        <v>5</v>
      </c>
      <c r="I157" s="57">
        <v>10</v>
      </c>
      <c r="J157" s="58">
        <v>14263763540</v>
      </c>
      <c r="K157" s="44">
        <v>0</v>
      </c>
      <c r="L157" s="44">
        <v>200095536</v>
      </c>
      <c r="M157" s="44">
        <f t="shared" si="88"/>
        <v>14063668004</v>
      </c>
      <c r="N157" s="44">
        <v>0</v>
      </c>
      <c r="O157" s="44">
        <v>14061472142.52</v>
      </c>
      <c r="P157" s="44">
        <f t="shared" si="85"/>
        <v>2195861.4799995422</v>
      </c>
      <c r="Q157" s="58">
        <v>14061472142.52</v>
      </c>
      <c r="R157" s="25">
        <f t="shared" si="81"/>
        <v>0.99984386281876281</v>
      </c>
      <c r="S157" s="58">
        <v>1268114536</v>
      </c>
      <c r="T157" s="59">
        <v>1268114536</v>
      </c>
    </row>
    <row r="158" spans="1:20" s="47" customFormat="1" ht="48.75" customHeight="1" x14ac:dyDescent="0.25">
      <c r="A158" s="94" t="s">
        <v>18</v>
      </c>
      <c r="B158" s="56" t="s">
        <v>89</v>
      </c>
      <c r="C158" s="56" t="s">
        <v>90</v>
      </c>
      <c r="D158" s="56">
        <v>16</v>
      </c>
      <c r="E158" s="56" t="s">
        <v>218</v>
      </c>
      <c r="F158" s="56" t="s">
        <v>147</v>
      </c>
      <c r="G158" s="23" t="s">
        <v>183</v>
      </c>
      <c r="H158" s="56" t="s">
        <v>5</v>
      </c>
      <c r="I158" s="57">
        <v>10</v>
      </c>
      <c r="J158" s="58">
        <v>5531215836</v>
      </c>
      <c r="K158" s="44">
        <v>0</v>
      </c>
      <c r="L158" s="44">
        <v>12641965</v>
      </c>
      <c r="M158" s="44">
        <f t="shared" si="88"/>
        <v>5518573871</v>
      </c>
      <c r="N158" s="113">
        <v>0</v>
      </c>
      <c r="O158" s="44">
        <v>5517978870.3000002</v>
      </c>
      <c r="P158" s="44">
        <f t="shared" ref="P158:P159" si="103">+M158-O158-N158</f>
        <v>595000.69999980927</v>
      </c>
      <c r="Q158" s="58">
        <v>5517978870.3000002</v>
      </c>
      <c r="R158" s="25">
        <f t="shared" si="81"/>
        <v>0.99989218216265496</v>
      </c>
      <c r="S158" s="58">
        <v>3194426705</v>
      </c>
      <c r="T158" s="59">
        <v>3194426705</v>
      </c>
    </row>
    <row r="159" spans="1:20" s="47" customFormat="1" ht="54" customHeight="1" x14ac:dyDescent="0.25">
      <c r="A159" s="94" t="s">
        <v>18</v>
      </c>
      <c r="B159" s="56" t="s">
        <v>89</v>
      </c>
      <c r="C159" s="56" t="s">
        <v>90</v>
      </c>
      <c r="D159" s="56">
        <v>16</v>
      </c>
      <c r="E159" s="56" t="s">
        <v>218</v>
      </c>
      <c r="F159" s="56" t="s">
        <v>155</v>
      </c>
      <c r="G159" s="23" t="s">
        <v>184</v>
      </c>
      <c r="H159" s="56" t="s">
        <v>5</v>
      </c>
      <c r="I159" s="57">
        <v>10</v>
      </c>
      <c r="J159" s="58">
        <v>1443612624</v>
      </c>
      <c r="K159" s="44">
        <v>0</v>
      </c>
      <c r="L159" s="44">
        <v>4109</v>
      </c>
      <c r="M159" s="44">
        <f t="shared" si="88"/>
        <v>1443608515</v>
      </c>
      <c r="N159" s="44">
        <v>0</v>
      </c>
      <c r="O159" s="44">
        <v>1443608514.3</v>
      </c>
      <c r="P159" s="44">
        <f t="shared" si="103"/>
        <v>0.70000004768371582</v>
      </c>
      <c r="Q159" s="58">
        <v>1443608514.3</v>
      </c>
      <c r="R159" s="25">
        <f t="shared" si="81"/>
        <v>0.99999999951510399</v>
      </c>
      <c r="S159" s="58">
        <v>0</v>
      </c>
      <c r="T159" s="59">
        <v>0</v>
      </c>
    </row>
    <row r="160" spans="1:20" s="47" customFormat="1" ht="56.25" customHeight="1" x14ac:dyDescent="0.25">
      <c r="A160" s="94" t="s">
        <v>18</v>
      </c>
      <c r="B160" s="56" t="s">
        <v>89</v>
      </c>
      <c r="C160" s="56" t="s">
        <v>90</v>
      </c>
      <c r="D160" s="56">
        <v>16</v>
      </c>
      <c r="E160" s="56" t="s">
        <v>218</v>
      </c>
      <c r="F160" s="56" t="s">
        <v>153</v>
      </c>
      <c r="G160" s="23" t="s">
        <v>185</v>
      </c>
      <c r="H160" s="56" t="s">
        <v>5</v>
      </c>
      <c r="I160" s="57">
        <v>10</v>
      </c>
      <c r="J160" s="58">
        <v>617408000</v>
      </c>
      <c r="K160" s="44">
        <v>0</v>
      </c>
      <c r="L160" s="44">
        <v>10206957</v>
      </c>
      <c r="M160" s="44">
        <f t="shared" si="88"/>
        <v>607201043</v>
      </c>
      <c r="N160" s="113">
        <v>0</v>
      </c>
      <c r="O160" s="44">
        <v>601562080</v>
      </c>
      <c r="P160" s="114">
        <f>+M160-O160-N160</f>
        <v>5638963</v>
      </c>
      <c r="Q160" s="58">
        <v>601562080</v>
      </c>
      <c r="R160" s="25">
        <f t="shared" si="81"/>
        <v>0.99071318624200722</v>
      </c>
      <c r="S160" s="58">
        <v>0</v>
      </c>
      <c r="T160" s="59">
        <v>0</v>
      </c>
    </row>
    <row r="161" spans="1:20" ht="31.5" customHeight="1" x14ac:dyDescent="0.25">
      <c r="A161" s="95" t="s">
        <v>18</v>
      </c>
      <c r="B161" s="11">
        <v>2999</v>
      </c>
      <c r="C161" s="11"/>
      <c r="D161" s="11"/>
      <c r="E161" s="11"/>
      <c r="F161" s="11"/>
      <c r="G161" s="12" t="s">
        <v>229</v>
      </c>
      <c r="H161" s="11" t="s">
        <v>5</v>
      </c>
      <c r="I161" s="13">
        <v>10</v>
      </c>
      <c r="J161" s="14">
        <f>J162</f>
        <v>52902704000</v>
      </c>
      <c r="K161" s="14">
        <f t="shared" ref="K161:L161" si="104">K162</f>
        <v>669552492</v>
      </c>
      <c r="L161" s="24">
        <f t="shared" si="104"/>
        <v>1447347722</v>
      </c>
      <c r="M161" s="48">
        <f>M162</f>
        <v>52124908770</v>
      </c>
      <c r="N161" s="24">
        <f>N162</f>
        <v>0</v>
      </c>
      <c r="O161" s="24">
        <f>O162</f>
        <v>51955868608.119995</v>
      </c>
      <c r="P161" s="24">
        <f>P162</f>
        <v>169040161.88000113</v>
      </c>
      <c r="Q161" s="14">
        <f>Q162</f>
        <v>51955868608.119995</v>
      </c>
      <c r="R161" s="26">
        <f t="shared" si="81"/>
        <v>0.99675701759736612</v>
      </c>
      <c r="S161" s="14">
        <f>S162</f>
        <v>16801928204.460001</v>
      </c>
      <c r="T161" s="22">
        <f t="shared" ref="T161" si="105">T162</f>
        <v>16801165197.970001</v>
      </c>
    </row>
    <row r="162" spans="1:20" ht="31.5" customHeight="1" x14ac:dyDescent="0.25">
      <c r="A162" s="95" t="s">
        <v>18</v>
      </c>
      <c r="B162" s="11" t="s">
        <v>96</v>
      </c>
      <c r="C162" s="11" t="s">
        <v>90</v>
      </c>
      <c r="D162" s="11"/>
      <c r="E162" s="11"/>
      <c r="F162" s="11"/>
      <c r="G162" s="12" t="s">
        <v>206</v>
      </c>
      <c r="H162" s="11" t="s">
        <v>5</v>
      </c>
      <c r="I162" s="13">
        <v>10</v>
      </c>
      <c r="J162" s="14">
        <f t="shared" ref="J162:P162" si="106">J163+J165+J168+J171+J174+J176+J178+J181</f>
        <v>52902704000</v>
      </c>
      <c r="K162" s="14">
        <f t="shared" si="106"/>
        <v>669552492</v>
      </c>
      <c r="L162" s="24">
        <f t="shared" si="106"/>
        <v>1447347722</v>
      </c>
      <c r="M162" s="48">
        <f>M163+M165+M168+M171+M174+M176+M178+M181</f>
        <v>52124908770</v>
      </c>
      <c r="N162" s="24">
        <f t="shared" si="106"/>
        <v>0</v>
      </c>
      <c r="O162" s="24">
        <f t="shared" si="106"/>
        <v>51955868608.119995</v>
      </c>
      <c r="P162" s="24">
        <f t="shared" si="106"/>
        <v>169040161.88000113</v>
      </c>
      <c r="Q162" s="14">
        <f>Q163+Q165+Q168+Q171+Q174+Q176+Q178+Q181</f>
        <v>51955868608.119995</v>
      </c>
      <c r="R162" s="26">
        <f t="shared" si="81"/>
        <v>0.99675701759736612</v>
      </c>
      <c r="S162" s="14">
        <f>S163+S165+S168+S171+S174+S176+S178+S181</f>
        <v>16801928204.460001</v>
      </c>
      <c r="T162" s="22">
        <f>T163+T165+T168+T171+T174+T176+T178+T181</f>
        <v>16801165197.970001</v>
      </c>
    </row>
    <row r="163" spans="1:20" ht="31.5" customHeight="1" x14ac:dyDescent="0.25">
      <c r="A163" s="95" t="s">
        <v>18</v>
      </c>
      <c r="B163" s="11" t="s">
        <v>96</v>
      </c>
      <c r="C163" s="98" t="s">
        <v>90</v>
      </c>
      <c r="D163" s="98" t="s">
        <v>93</v>
      </c>
      <c r="E163" s="11"/>
      <c r="F163" s="11"/>
      <c r="G163" s="12" t="s">
        <v>200</v>
      </c>
      <c r="H163" s="98" t="s">
        <v>5</v>
      </c>
      <c r="I163" s="99">
        <v>10</v>
      </c>
      <c r="J163" s="14">
        <f>J164</f>
        <v>1040000000</v>
      </c>
      <c r="K163" s="24">
        <f t="shared" ref="K163:T163" si="107">K164</f>
        <v>0</v>
      </c>
      <c r="L163" s="24">
        <f t="shared" si="107"/>
        <v>0</v>
      </c>
      <c r="M163" s="48">
        <f t="shared" si="107"/>
        <v>1040000000</v>
      </c>
      <c r="N163" s="24">
        <f t="shared" si="107"/>
        <v>0</v>
      </c>
      <c r="O163" s="24">
        <f>O164</f>
        <v>1039999999.0700001</v>
      </c>
      <c r="P163" s="24">
        <f>P164</f>
        <v>0.9299999475479126</v>
      </c>
      <c r="Q163" s="14">
        <f t="shared" si="107"/>
        <v>1039999999.0700001</v>
      </c>
      <c r="R163" s="26">
        <f t="shared" si="81"/>
        <v>0.99999999910576931</v>
      </c>
      <c r="S163" s="14">
        <f t="shared" si="107"/>
        <v>574211119</v>
      </c>
      <c r="T163" s="22">
        <f t="shared" si="107"/>
        <v>574211119</v>
      </c>
    </row>
    <row r="164" spans="1:20" ht="42.75" customHeight="1" x14ac:dyDescent="0.25">
      <c r="A164" s="94" t="s">
        <v>18</v>
      </c>
      <c r="B164" s="7" t="s">
        <v>96</v>
      </c>
      <c r="C164" s="56" t="s">
        <v>90</v>
      </c>
      <c r="D164" s="56" t="s">
        <v>93</v>
      </c>
      <c r="E164" s="56" t="s">
        <v>219</v>
      </c>
      <c r="F164" s="56" t="s">
        <v>164</v>
      </c>
      <c r="G164" s="23" t="s">
        <v>186</v>
      </c>
      <c r="H164" s="56" t="s">
        <v>5</v>
      </c>
      <c r="I164" s="57">
        <v>10</v>
      </c>
      <c r="J164" s="44">
        <v>1040000000</v>
      </c>
      <c r="K164" s="44">
        <v>0</v>
      </c>
      <c r="L164" s="44">
        <v>0</v>
      </c>
      <c r="M164" s="44">
        <f>J164+K164-L164</f>
        <v>1040000000</v>
      </c>
      <c r="N164" s="44">
        <v>0</v>
      </c>
      <c r="O164" s="44">
        <v>1039999999.0700001</v>
      </c>
      <c r="P164" s="27">
        <f t="shared" ref="P164:P177" si="108">+M164-O164-N164</f>
        <v>0.9299999475479126</v>
      </c>
      <c r="Q164" s="58">
        <v>1039999999.0700001</v>
      </c>
      <c r="R164" s="25">
        <f t="shared" si="81"/>
        <v>0.99999999910576931</v>
      </c>
      <c r="S164" s="58">
        <v>574211119</v>
      </c>
      <c r="T164" s="59">
        <v>574211119</v>
      </c>
    </row>
    <row r="165" spans="1:20" ht="48" customHeight="1" x14ac:dyDescent="0.25">
      <c r="A165" s="95" t="s">
        <v>18</v>
      </c>
      <c r="B165" s="98" t="s">
        <v>96</v>
      </c>
      <c r="C165" s="98" t="s">
        <v>90</v>
      </c>
      <c r="D165" s="98" t="s">
        <v>94</v>
      </c>
      <c r="E165" s="98"/>
      <c r="F165" s="98"/>
      <c r="G165" s="12" t="s">
        <v>201</v>
      </c>
      <c r="H165" s="98" t="s">
        <v>5</v>
      </c>
      <c r="I165" s="99">
        <v>10</v>
      </c>
      <c r="J165" s="48">
        <f>J166+J167</f>
        <v>23019524233</v>
      </c>
      <c r="K165" s="48">
        <f t="shared" ref="K165:T165" si="109">K166+K167</f>
        <v>586419103</v>
      </c>
      <c r="L165" s="48">
        <f t="shared" si="109"/>
        <v>624552492</v>
      </c>
      <c r="M165" s="48">
        <f>M166+M167</f>
        <v>22981390844</v>
      </c>
      <c r="N165" s="129">
        <f>M165-[3]REP_EPG034_EjecucionPresupuesta!$T$31</f>
        <v>0</v>
      </c>
      <c r="O165" s="48">
        <f>O166+O167</f>
        <v>22932257867.489998</v>
      </c>
      <c r="P165" s="24">
        <f>P166+P167</f>
        <v>49132976.510001242</v>
      </c>
      <c r="Q165" s="100">
        <f>Q166+Q167</f>
        <v>22932257867.489998</v>
      </c>
      <c r="R165" s="26">
        <f t="shared" si="81"/>
        <v>0.99786205383114013</v>
      </c>
      <c r="S165" s="100">
        <f t="shared" si="109"/>
        <v>12869548929.030001</v>
      </c>
      <c r="T165" s="101">
        <f t="shared" si="109"/>
        <v>12869548929.030001</v>
      </c>
    </row>
    <row r="166" spans="1:20" ht="45" customHeight="1" x14ac:dyDescent="0.25">
      <c r="A166" s="94" t="s">
        <v>18</v>
      </c>
      <c r="B166" s="56" t="s">
        <v>96</v>
      </c>
      <c r="C166" s="56" t="s">
        <v>90</v>
      </c>
      <c r="D166" s="56" t="s">
        <v>94</v>
      </c>
      <c r="E166" s="56" t="s">
        <v>219</v>
      </c>
      <c r="F166" s="56" t="s">
        <v>162</v>
      </c>
      <c r="G166" s="23" t="s">
        <v>187</v>
      </c>
      <c r="H166" s="56" t="s">
        <v>5</v>
      </c>
      <c r="I166" s="57">
        <v>10</v>
      </c>
      <c r="J166" s="58">
        <v>1055000000</v>
      </c>
      <c r="K166" s="44">
        <v>0</v>
      </c>
      <c r="L166" s="44">
        <v>586419103</v>
      </c>
      <c r="M166" s="44">
        <f t="shared" ref="M166:M184" si="110">J166+K166-L166</f>
        <v>468580897</v>
      </c>
      <c r="N166" s="44">
        <v>0</v>
      </c>
      <c r="O166" s="44">
        <v>468580896.45999998</v>
      </c>
      <c r="P166" s="27">
        <f t="shared" si="108"/>
        <v>0.54000002145767212</v>
      </c>
      <c r="Q166" s="58">
        <v>468580896.45999998</v>
      </c>
      <c r="R166" s="25">
        <f t="shared" si="81"/>
        <v>0.99999999884758417</v>
      </c>
      <c r="S166" s="58">
        <v>0</v>
      </c>
      <c r="T166" s="59">
        <v>0</v>
      </c>
    </row>
    <row r="167" spans="1:20" ht="47.25" customHeight="1" x14ac:dyDescent="0.25">
      <c r="A167" s="94" t="s">
        <v>18</v>
      </c>
      <c r="B167" s="56" t="s">
        <v>96</v>
      </c>
      <c r="C167" s="56" t="s">
        <v>90</v>
      </c>
      <c r="D167" s="56" t="s">
        <v>94</v>
      </c>
      <c r="E167" s="56" t="s">
        <v>219</v>
      </c>
      <c r="F167" s="56" t="s">
        <v>163</v>
      </c>
      <c r="G167" s="23" t="s">
        <v>188</v>
      </c>
      <c r="H167" s="56" t="s">
        <v>5</v>
      </c>
      <c r="I167" s="57">
        <v>10</v>
      </c>
      <c r="J167" s="58">
        <v>21964524233</v>
      </c>
      <c r="K167" s="44">
        <f>586419103</f>
        <v>586419103</v>
      </c>
      <c r="L167" s="44">
        <v>38133389</v>
      </c>
      <c r="M167" s="44">
        <f>J167+K167-L167</f>
        <v>22512809947</v>
      </c>
      <c r="N167" s="44">
        <f>M167-[1]REP_EPG034_EjecucionPresupuesta!$T$109</f>
        <v>0</v>
      </c>
      <c r="O167" s="44">
        <v>22463676971.029999</v>
      </c>
      <c r="P167" s="27">
        <f>+M167-O167-N167</f>
        <v>49132975.970001221</v>
      </c>
      <c r="Q167" s="58">
        <v>22463676971.029999</v>
      </c>
      <c r="R167" s="25">
        <f t="shared" si="81"/>
        <v>0.9978175547128203</v>
      </c>
      <c r="S167" s="58">
        <v>12869548929.030001</v>
      </c>
      <c r="T167" s="59">
        <v>12869548929.030001</v>
      </c>
    </row>
    <row r="168" spans="1:20" ht="47.25" customHeight="1" x14ac:dyDescent="0.25">
      <c r="A168" s="95" t="s">
        <v>18</v>
      </c>
      <c r="B168" s="98" t="s">
        <v>96</v>
      </c>
      <c r="C168" s="98" t="s">
        <v>90</v>
      </c>
      <c r="D168" s="98" t="s">
        <v>95</v>
      </c>
      <c r="E168" s="98"/>
      <c r="F168" s="98"/>
      <c r="G168" s="12" t="s">
        <v>202</v>
      </c>
      <c r="H168" s="98" t="s">
        <v>5</v>
      </c>
      <c r="I168" s="99">
        <v>10</v>
      </c>
      <c r="J168" s="100">
        <f>J169+J170</f>
        <v>5464000000</v>
      </c>
      <c r="K168" s="48">
        <f>K169+K170</f>
        <v>0</v>
      </c>
      <c r="L168" s="48">
        <f>L169+L170</f>
        <v>0</v>
      </c>
      <c r="M168" s="48">
        <f>M169+M170</f>
        <v>5464000000</v>
      </c>
      <c r="N168" s="48">
        <f t="shared" ref="N168:T168" si="111">N169+N170</f>
        <v>0</v>
      </c>
      <c r="O168" s="48">
        <f>O169+O170</f>
        <v>5432849274.54</v>
      </c>
      <c r="P168" s="24">
        <f>P169+P170</f>
        <v>31150725.459999919</v>
      </c>
      <c r="Q168" s="100">
        <f t="shared" si="111"/>
        <v>5432849274.54</v>
      </c>
      <c r="R168" s="26">
        <f t="shared" si="81"/>
        <v>0.99429891554538796</v>
      </c>
      <c r="S168" s="100">
        <f t="shared" si="111"/>
        <v>2282133821.0100002</v>
      </c>
      <c r="T168" s="101">
        <f t="shared" si="111"/>
        <v>2282133821.0100002</v>
      </c>
    </row>
    <row r="169" spans="1:20" ht="41.25" customHeight="1" x14ac:dyDescent="0.25">
      <c r="A169" s="94" t="s">
        <v>18</v>
      </c>
      <c r="B169" s="56" t="s">
        <v>96</v>
      </c>
      <c r="C169" s="56" t="s">
        <v>90</v>
      </c>
      <c r="D169" s="56" t="s">
        <v>95</v>
      </c>
      <c r="E169" s="56" t="s">
        <v>219</v>
      </c>
      <c r="F169" s="56" t="s">
        <v>165</v>
      </c>
      <c r="G169" s="23" t="s">
        <v>189</v>
      </c>
      <c r="H169" s="56" t="s">
        <v>5</v>
      </c>
      <c r="I169" s="57">
        <v>10</v>
      </c>
      <c r="J169" s="58">
        <v>1049493214</v>
      </c>
      <c r="K169" s="44">
        <v>0</v>
      </c>
      <c r="L169" s="44">
        <v>0</v>
      </c>
      <c r="M169" s="44">
        <f t="shared" si="110"/>
        <v>1049493214</v>
      </c>
      <c r="N169" s="44">
        <v>0</v>
      </c>
      <c r="O169" s="44">
        <v>1042145177.58</v>
      </c>
      <c r="P169" s="27">
        <f t="shared" si="108"/>
        <v>7348036.4199999571</v>
      </c>
      <c r="Q169" s="58">
        <v>1042145177.58</v>
      </c>
      <c r="R169" s="25">
        <f t="shared" si="81"/>
        <v>0.99299849077442448</v>
      </c>
      <c r="S169" s="58">
        <v>502135186</v>
      </c>
      <c r="T169" s="59">
        <v>502135186</v>
      </c>
    </row>
    <row r="170" spans="1:20" ht="47.25" customHeight="1" x14ac:dyDescent="0.25">
      <c r="A170" s="94" t="s">
        <v>18</v>
      </c>
      <c r="B170" s="56" t="s">
        <v>96</v>
      </c>
      <c r="C170" s="56" t="s">
        <v>90</v>
      </c>
      <c r="D170" s="56" t="s">
        <v>95</v>
      </c>
      <c r="E170" s="56" t="s">
        <v>219</v>
      </c>
      <c r="F170" s="56" t="s">
        <v>163</v>
      </c>
      <c r="G170" s="23" t="s">
        <v>190</v>
      </c>
      <c r="H170" s="56" t="s">
        <v>5</v>
      </c>
      <c r="I170" s="57">
        <v>10</v>
      </c>
      <c r="J170" s="58">
        <v>4414506786</v>
      </c>
      <c r="K170" s="44">
        <v>0</v>
      </c>
      <c r="L170" s="44">
        <v>0</v>
      </c>
      <c r="M170" s="44">
        <f t="shared" si="110"/>
        <v>4414506786</v>
      </c>
      <c r="N170" s="44">
        <v>0</v>
      </c>
      <c r="O170" s="44">
        <v>4390704096.96</v>
      </c>
      <c r="P170" s="27">
        <f t="shared" ref="P170" si="112">+M170-O170-N170</f>
        <v>23802689.039999962</v>
      </c>
      <c r="Q170" s="58">
        <v>4390704096.96</v>
      </c>
      <c r="R170" s="25">
        <f t="shared" si="81"/>
        <v>0.9946080751046783</v>
      </c>
      <c r="S170" s="58">
        <v>1779998635.01</v>
      </c>
      <c r="T170" s="59">
        <v>1779998635.01</v>
      </c>
    </row>
    <row r="171" spans="1:20" ht="47.25" customHeight="1" x14ac:dyDescent="0.25">
      <c r="A171" s="95" t="s">
        <v>18</v>
      </c>
      <c r="B171" s="98" t="s">
        <v>96</v>
      </c>
      <c r="C171" s="98" t="s">
        <v>90</v>
      </c>
      <c r="D171" s="98">
        <v>16</v>
      </c>
      <c r="E171" s="98"/>
      <c r="F171" s="98"/>
      <c r="G171" s="12" t="s">
        <v>220</v>
      </c>
      <c r="H171" s="98" t="s">
        <v>5</v>
      </c>
      <c r="I171" s="99">
        <v>10</v>
      </c>
      <c r="J171" s="100">
        <f>J173+J172</f>
        <v>45000000</v>
      </c>
      <c r="K171" s="48">
        <f t="shared" ref="K171:Q171" si="113">K173+K172</f>
        <v>83133389</v>
      </c>
      <c r="L171" s="48">
        <f>L173+L172</f>
        <v>45000000</v>
      </c>
      <c r="M171" s="48">
        <f t="shared" si="113"/>
        <v>83133389</v>
      </c>
      <c r="N171" s="129">
        <f>M171-[3]REP_EPG034_EjecucionPresupuesta!$T$33</f>
        <v>0</v>
      </c>
      <c r="O171" s="48">
        <f t="shared" si="113"/>
        <v>83133388.519999996</v>
      </c>
      <c r="P171" s="24">
        <f t="shared" si="113"/>
        <v>0.48000000417232513</v>
      </c>
      <c r="Q171" s="100">
        <f t="shared" si="113"/>
        <v>83133388.519999996</v>
      </c>
      <c r="R171" s="26">
        <f t="shared" si="81"/>
        <v>0.9999999942261466</v>
      </c>
      <c r="S171" s="100">
        <f t="shared" ref="S171:T171" si="114">S173+S172</f>
        <v>83133388.519999996</v>
      </c>
      <c r="T171" s="101">
        <f t="shared" si="114"/>
        <v>83133388.519999996</v>
      </c>
    </row>
    <row r="172" spans="1:20" ht="47.25" customHeight="1" x14ac:dyDescent="0.25">
      <c r="A172" s="94" t="s">
        <v>18</v>
      </c>
      <c r="B172" s="56" t="s">
        <v>96</v>
      </c>
      <c r="C172" s="56" t="s">
        <v>90</v>
      </c>
      <c r="D172" s="56">
        <v>16</v>
      </c>
      <c r="E172" s="56" t="s">
        <v>219</v>
      </c>
      <c r="F172" s="56">
        <v>2999011</v>
      </c>
      <c r="G172" s="23" t="s">
        <v>237</v>
      </c>
      <c r="H172" s="56" t="s">
        <v>5</v>
      </c>
      <c r="I172" s="57">
        <v>10</v>
      </c>
      <c r="J172" s="58"/>
      <c r="K172" s="44">
        <f>45000000+38133389</f>
        <v>83133389</v>
      </c>
      <c r="L172" s="44"/>
      <c r="M172" s="44">
        <f t="shared" ref="M172" si="115">J172+K172-L172</f>
        <v>83133389</v>
      </c>
      <c r="N172" s="44">
        <f>M172-[1]REP_EPG034_EjecucionPresupuesta!$T$112</f>
        <v>0</v>
      </c>
      <c r="O172" s="44">
        <v>83133388.519999996</v>
      </c>
      <c r="P172" s="27">
        <f t="shared" ref="P172" si="116">+M172-O172-N172</f>
        <v>0.48000000417232513</v>
      </c>
      <c r="Q172" s="58">
        <v>83133388.519999996</v>
      </c>
      <c r="R172" s="25">
        <f t="shared" ref="R172" si="117">IF(Q172&gt;1,Q172/(M172),0)</f>
        <v>0.9999999942261466</v>
      </c>
      <c r="S172" s="58">
        <v>83133388.519999996</v>
      </c>
      <c r="T172" s="59">
        <v>83133388.519999996</v>
      </c>
    </row>
    <row r="173" spans="1:20" ht="39" customHeight="1" x14ac:dyDescent="0.25">
      <c r="A173" s="94" t="s">
        <v>18</v>
      </c>
      <c r="B173" s="56" t="s">
        <v>96</v>
      </c>
      <c r="C173" s="56" t="s">
        <v>90</v>
      </c>
      <c r="D173" s="56">
        <v>16</v>
      </c>
      <c r="E173" s="56" t="s">
        <v>219</v>
      </c>
      <c r="F173" s="56">
        <v>2999065</v>
      </c>
      <c r="G173" s="23" t="s">
        <v>221</v>
      </c>
      <c r="H173" s="56" t="s">
        <v>5</v>
      </c>
      <c r="I173" s="57">
        <v>10</v>
      </c>
      <c r="J173" s="58">
        <v>45000000</v>
      </c>
      <c r="K173" s="44">
        <v>0</v>
      </c>
      <c r="L173" s="44">
        <v>45000000</v>
      </c>
      <c r="M173" s="44">
        <f t="shared" si="110"/>
        <v>0</v>
      </c>
      <c r="N173" s="113">
        <v>0</v>
      </c>
      <c r="O173" s="44">
        <v>0</v>
      </c>
      <c r="P173" s="27">
        <f t="shared" si="108"/>
        <v>0</v>
      </c>
      <c r="Q173" s="58">
        <v>0</v>
      </c>
      <c r="R173" s="25">
        <f t="shared" si="81"/>
        <v>0</v>
      </c>
      <c r="S173" s="58"/>
      <c r="T173" s="59"/>
    </row>
    <row r="174" spans="1:20" ht="47.25" customHeight="1" x14ac:dyDescent="0.25">
      <c r="A174" s="95" t="s">
        <v>18</v>
      </c>
      <c r="B174" s="98" t="s">
        <v>96</v>
      </c>
      <c r="C174" s="98" t="s">
        <v>90</v>
      </c>
      <c r="D174" s="98">
        <v>17</v>
      </c>
      <c r="E174" s="98"/>
      <c r="F174" s="98"/>
      <c r="G174" s="12" t="s">
        <v>203</v>
      </c>
      <c r="H174" s="98" t="s">
        <v>5</v>
      </c>
      <c r="I174" s="99">
        <v>10</v>
      </c>
      <c r="J174" s="100">
        <f>J175</f>
        <v>77674866</v>
      </c>
      <c r="K174" s="48">
        <f t="shared" ref="K174:T174" si="118">K175</f>
        <v>0</v>
      </c>
      <c r="L174" s="48">
        <f t="shared" si="118"/>
        <v>0</v>
      </c>
      <c r="M174" s="48">
        <f t="shared" si="118"/>
        <v>77674866</v>
      </c>
      <c r="N174" s="48">
        <f t="shared" si="118"/>
        <v>0</v>
      </c>
      <c r="O174" s="48">
        <f>O175</f>
        <v>77674863</v>
      </c>
      <c r="P174" s="24">
        <f t="shared" si="118"/>
        <v>3</v>
      </c>
      <c r="Q174" s="100">
        <f t="shared" si="118"/>
        <v>77674863</v>
      </c>
      <c r="R174" s="26">
        <f t="shared" si="81"/>
        <v>0.99999996137746794</v>
      </c>
      <c r="S174" s="100">
        <f t="shared" si="118"/>
        <v>69907377</v>
      </c>
      <c r="T174" s="101">
        <f t="shared" si="118"/>
        <v>69907377</v>
      </c>
    </row>
    <row r="175" spans="1:20" ht="32.25" customHeight="1" x14ac:dyDescent="0.25">
      <c r="A175" s="94" t="s">
        <v>18</v>
      </c>
      <c r="B175" s="56" t="s">
        <v>96</v>
      </c>
      <c r="C175" s="56" t="s">
        <v>90</v>
      </c>
      <c r="D175" s="56">
        <v>17</v>
      </c>
      <c r="E175" s="56" t="s">
        <v>219</v>
      </c>
      <c r="F175" s="56">
        <v>2999064</v>
      </c>
      <c r="G175" s="23" t="s">
        <v>222</v>
      </c>
      <c r="H175" s="56" t="s">
        <v>5</v>
      </c>
      <c r="I175" s="57">
        <v>10</v>
      </c>
      <c r="J175" s="58">
        <v>77674866</v>
      </c>
      <c r="K175" s="44"/>
      <c r="L175" s="44">
        <v>0</v>
      </c>
      <c r="M175" s="44">
        <f t="shared" si="110"/>
        <v>77674866</v>
      </c>
      <c r="N175" s="44">
        <v>0</v>
      </c>
      <c r="O175" s="44">
        <v>77674863</v>
      </c>
      <c r="P175" s="27">
        <f>+M175-O175-N175</f>
        <v>3</v>
      </c>
      <c r="Q175" s="58">
        <v>77674863</v>
      </c>
      <c r="R175" s="25">
        <f t="shared" si="81"/>
        <v>0.99999996137746794</v>
      </c>
      <c r="S175" s="58">
        <v>69907377</v>
      </c>
      <c r="T175" s="59">
        <v>69907377</v>
      </c>
    </row>
    <row r="176" spans="1:20" s="102" customFormat="1" ht="32.25" customHeight="1" x14ac:dyDescent="0.25">
      <c r="A176" s="95" t="s">
        <v>18</v>
      </c>
      <c r="B176" s="98" t="s">
        <v>96</v>
      </c>
      <c r="C176" s="98" t="s">
        <v>90</v>
      </c>
      <c r="D176" s="98" t="s">
        <v>97</v>
      </c>
      <c r="E176" s="98"/>
      <c r="F176" s="98"/>
      <c r="G176" s="12" t="s">
        <v>204</v>
      </c>
      <c r="H176" s="98" t="s">
        <v>5</v>
      </c>
      <c r="I176" s="99">
        <v>10</v>
      </c>
      <c r="J176" s="100">
        <f>J177</f>
        <v>837000000</v>
      </c>
      <c r="K176" s="48">
        <f t="shared" ref="K176:T176" si="119">K177</f>
        <v>0</v>
      </c>
      <c r="L176" s="48">
        <f t="shared" si="119"/>
        <v>0</v>
      </c>
      <c r="M176" s="48">
        <f t="shared" si="119"/>
        <v>837000000</v>
      </c>
      <c r="N176" s="48">
        <f t="shared" si="119"/>
        <v>0</v>
      </c>
      <c r="O176" s="48">
        <f t="shared" si="119"/>
        <v>836768065</v>
      </c>
      <c r="P176" s="24">
        <f t="shared" si="119"/>
        <v>231935</v>
      </c>
      <c r="Q176" s="100">
        <f t="shared" si="119"/>
        <v>836768065</v>
      </c>
      <c r="R176" s="26">
        <f t="shared" si="81"/>
        <v>0.99972289725209085</v>
      </c>
      <c r="S176" s="100">
        <f t="shared" si="119"/>
        <v>478200044.13</v>
      </c>
      <c r="T176" s="101">
        <f t="shared" si="119"/>
        <v>477437037.63999999</v>
      </c>
    </row>
    <row r="177" spans="1:20" ht="44.25" customHeight="1" x14ac:dyDescent="0.25">
      <c r="A177" s="94" t="s">
        <v>18</v>
      </c>
      <c r="B177" s="56" t="s">
        <v>96</v>
      </c>
      <c r="C177" s="56" t="s">
        <v>90</v>
      </c>
      <c r="D177" s="56" t="s">
        <v>97</v>
      </c>
      <c r="E177" s="56" t="s">
        <v>219</v>
      </c>
      <c r="F177" s="56" t="s">
        <v>165</v>
      </c>
      <c r="G177" s="23" t="s">
        <v>191</v>
      </c>
      <c r="H177" s="56" t="s">
        <v>5</v>
      </c>
      <c r="I177" s="57">
        <v>10</v>
      </c>
      <c r="J177" s="58">
        <v>837000000</v>
      </c>
      <c r="K177" s="44">
        <v>0</v>
      </c>
      <c r="L177" s="44">
        <v>0</v>
      </c>
      <c r="M177" s="44">
        <f t="shared" si="110"/>
        <v>837000000</v>
      </c>
      <c r="N177" s="113"/>
      <c r="O177" s="44">
        <v>836768065</v>
      </c>
      <c r="P177" s="27">
        <f t="shared" si="108"/>
        <v>231935</v>
      </c>
      <c r="Q177" s="58">
        <v>836768065</v>
      </c>
      <c r="R177" s="25">
        <f t="shared" si="81"/>
        <v>0.99972289725209085</v>
      </c>
      <c r="S177" s="58">
        <v>478200044.13</v>
      </c>
      <c r="T177" s="59">
        <v>477437037.63999999</v>
      </c>
    </row>
    <row r="178" spans="1:20" ht="42" customHeight="1" x14ac:dyDescent="0.25">
      <c r="A178" s="95" t="s">
        <v>18</v>
      </c>
      <c r="B178" s="98" t="s">
        <v>96</v>
      </c>
      <c r="C178" s="11" t="s">
        <v>90</v>
      </c>
      <c r="D178" s="11" t="s">
        <v>98</v>
      </c>
      <c r="E178" s="11"/>
      <c r="F178" s="11"/>
      <c r="G178" s="12" t="s">
        <v>205</v>
      </c>
      <c r="H178" s="11" t="s">
        <v>5</v>
      </c>
      <c r="I178" s="13">
        <v>10</v>
      </c>
      <c r="J178" s="14">
        <f>J179+J180</f>
        <v>546400000</v>
      </c>
      <c r="K178" s="24">
        <f>K179+K180</f>
        <v>0</v>
      </c>
      <c r="L178" s="116">
        <f>L179+L180</f>
        <v>0</v>
      </c>
      <c r="M178" s="48">
        <f>M179+M180</f>
        <v>546400000</v>
      </c>
      <c r="N178" s="24">
        <f t="shared" ref="N178:T178" si="120">N179+N180</f>
        <v>0</v>
      </c>
      <c r="O178" s="24">
        <f t="shared" si="120"/>
        <v>537236039</v>
      </c>
      <c r="P178" s="24">
        <f>P179+P180</f>
        <v>9163961</v>
      </c>
      <c r="Q178" s="14">
        <f t="shared" si="120"/>
        <v>537236039</v>
      </c>
      <c r="R178" s="26">
        <f t="shared" si="81"/>
        <v>0.98322847547584191</v>
      </c>
      <c r="S178" s="14">
        <f t="shared" si="120"/>
        <v>256200311</v>
      </c>
      <c r="T178" s="22">
        <f t="shared" si="120"/>
        <v>256200311</v>
      </c>
    </row>
    <row r="179" spans="1:20" ht="39" customHeight="1" x14ac:dyDescent="0.25">
      <c r="A179" s="94" t="s">
        <v>18</v>
      </c>
      <c r="B179" s="56" t="s">
        <v>96</v>
      </c>
      <c r="C179" s="7" t="s">
        <v>90</v>
      </c>
      <c r="D179" s="7" t="s">
        <v>98</v>
      </c>
      <c r="E179" s="7" t="s">
        <v>219</v>
      </c>
      <c r="F179" s="7" t="s">
        <v>166</v>
      </c>
      <c r="G179" s="23" t="s">
        <v>192</v>
      </c>
      <c r="H179" s="7" t="s">
        <v>5</v>
      </c>
      <c r="I179" s="8">
        <v>10</v>
      </c>
      <c r="J179" s="9">
        <v>154665897</v>
      </c>
      <c r="K179" s="27"/>
      <c r="L179" s="27"/>
      <c r="M179" s="44">
        <f t="shared" si="110"/>
        <v>154665897</v>
      </c>
      <c r="N179" s="27">
        <v>0</v>
      </c>
      <c r="O179" s="27">
        <v>150539566</v>
      </c>
      <c r="P179" s="27">
        <f>+M179-O179-N179</f>
        <v>4126331</v>
      </c>
      <c r="Q179" s="9">
        <v>150539566</v>
      </c>
      <c r="R179" s="25">
        <f t="shared" si="81"/>
        <v>0.97332100301335334</v>
      </c>
      <c r="S179" s="9">
        <v>99682188</v>
      </c>
      <c r="T179" s="10">
        <v>99682188</v>
      </c>
    </row>
    <row r="180" spans="1:20" ht="39" customHeight="1" x14ac:dyDescent="0.25">
      <c r="A180" s="94" t="s">
        <v>18</v>
      </c>
      <c r="B180" s="56" t="s">
        <v>96</v>
      </c>
      <c r="C180" s="7" t="s">
        <v>90</v>
      </c>
      <c r="D180" s="7" t="s">
        <v>98</v>
      </c>
      <c r="E180" s="7" t="s">
        <v>219</v>
      </c>
      <c r="F180" s="7" t="s">
        <v>165</v>
      </c>
      <c r="G180" s="23" t="s">
        <v>193</v>
      </c>
      <c r="H180" s="7" t="s">
        <v>5</v>
      </c>
      <c r="I180" s="8">
        <v>10</v>
      </c>
      <c r="J180" s="9">
        <v>391734103</v>
      </c>
      <c r="K180" s="27"/>
      <c r="L180" s="27"/>
      <c r="M180" s="44">
        <f t="shared" si="110"/>
        <v>391734103</v>
      </c>
      <c r="N180" s="27">
        <v>0</v>
      </c>
      <c r="O180" s="27">
        <v>386696473</v>
      </c>
      <c r="P180" s="27">
        <f>+M180-O180-N180</f>
        <v>5037630</v>
      </c>
      <c r="Q180" s="9">
        <v>386696473</v>
      </c>
      <c r="R180" s="25">
        <f t="shared" si="81"/>
        <v>0.98714018013387006</v>
      </c>
      <c r="S180" s="9">
        <v>156518123</v>
      </c>
      <c r="T180" s="10">
        <v>156518123</v>
      </c>
    </row>
    <row r="181" spans="1:20" ht="39" customHeight="1" x14ac:dyDescent="0.25">
      <c r="A181" s="95" t="s">
        <v>18</v>
      </c>
      <c r="B181" s="11" t="s">
        <v>96</v>
      </c>
      <c r="C181" s="11" t="s">
        <v>90</v>
      </c>
      <c r="D181" s="11">
        <v>25</v>
      </c>
      <c r="E181" s="11"/>
      <c r="F181" s="11"/>
      <c r="G181" s="12" t="s">
        <v>223</v>
      </c>
      <c r="H181" s="11" t="s">
        <v>5</v>
      </c>
      <c r="I181" s="13">
        <v>10</v>
      </c>
      <c r="J181" s="14">
        <f>J184+J182+J183</f>
        <v>21873104901</v>
      </c>
      <c r="K181" s="24">
        <f>K184+K182+K183</f>
        <v>0</v>
      </c>
      <c r="L181" s="24">
        <f>L184+L182+L183</f>
        <v>777795230</v>
      </c>
      <c r="M181" s="48">
        <f>M184+M182+M183</f>
        <v>21095309671</v>
      </c>
      <c r="N181" s="24">
        <f t="shared" ref="N181" si="121">N184</f>
        <v>0</v>
      </c>
      <c r="O181" s="24">
        <f t="shared" ref="O181" si="122">O184+O182+O183</f>
        <v>21015949111.5</v>
      </c>
      <c r="P181" s="24">
        <f t="shared" ref="P181" si="123">P184+P182+P183</f>
        <v>79360559.5</v>
      </c>
      <c r="Q181" s="14">
        <f>Q184+Q182+Q183</f>
        <v>21015949111.5</v>
      </c>
      <c r="R181" s="26">
        <f t="shared" si="81"/>
        <v>0.99623799978584349</v>
      </c>
      <c r="S181" s="14">
        <f t="shared" ref="S181" si="124">S184+S182+S183</f>
        <v>188593214.77000001</v>
      </c>
      <c r="T181" s="22">
        <f t="shared" ref="T181" si="125">T184+T182+T183</f>
        <v>188593214.77000001</v>
      </c>
    </row>
    <row r="182" spans="1:20" ht="39" customHeight="1" x14ac:dyDescent="0.25">
      <c r="A182" s="94" t="s">
        <v>18</v>
      </c>
      <c r="B182" s="7" t="s">
        <v>96</v>
      </c>
      <c r="C182" s="7" t="s">
        <v>90</v>
      </c>
      <c r="D182" s="7">
        <v>25</v>
      </c>
      <c r="E182" s="7" t="s">
        <v>219</v>
      </c>
      <c r="F182" s="7">
        <v>2999011</v>
      </c>
      <c r="G182" s="23" t="s">
        <v>224</v>
      </c>
      <c r="H182" s="7" t="s">
        <v>5</v>
      </c>
      <c r="I182" s="8">
        <v>10</v>
      </c>
      <c r="J182" s="9">
        <v>3555000000</v>
      </c>
      <c r="K182" s="24"/>
      <c r="L182" s="27">
        <v>485162967</v>
      </c>
      <c r="M182" s="44">
        <f t="shared" si="110"/>
        <v>3069837033</v>
      </c>
      <c r="N182" s="27"/>
      <c r="O182" s="27">
        <v>3037608601.3499999</v>
      </c>
      <c r="P182" s="27">
        <f>+M182-O182-N182</f>
        <v>32228431.650000095</v>
      </c>
      <c r="Q182" s="9">
        <v>3037608601.3499999</v>
      </c>
      <c r="R182" s="26">
        <f t="shared" si="81"/>
        <v>0.9895015822326878</v>
      </c>
      <c r="S182" s="9">
        <v>181567322.62</v>
      </c>
      <c r="T182" s="10">
        <v>181567322.62</v>
      </c>
    </row>
    <row r="183" spans="1:20" ht="39" customHeight="1" x14ac:dyDescent="0.25">
      <c r="A183" s="94" t="s">
        <v>18</v>
      </c>
      <c r="B183" s="7" t="s">
        <v>96</v>
      </c>
      <c r="C183" s="7" t="s">
        <v>90</v>
      </c>
      <c r="D183" s="7">
        <v>25</v>
      </c>
      <c r="E183" s="7" t="s">
        <v>219</v>
      </c>
      <c r="F183" s="7">
        <v>2999014</v>
      </c>
      <c r="G183" s="23" t="s">
        <v>225</v>
      </c>
      <c r="H183" s="7" t="s">
        <v>5</v>
      </c>
      <c r="I183" s="8">
        <v>10</v>
      </c>
      <c r="J183" s="9">
        <v>2980845467</v>
      </c>
      <c r="K183" s="24"/>
      <c r="L183" s="27">
        <v>0</v>
      </c>
      <c r="M183" s="44">
        <f t="shared" si="110"/>
        <v>2980845467</v>
      </c>
      <c r="N183" s="27"/>
      <c r="O183" s="27">
        <v>2933713349.1500001</v>
      </c>
      <c r="P183" s="27">
        <f t="shared" ref="P183:P184" si="126">+M183-O183-N183</f>
        <v>47132117.849999905</v>
      </c>
      <c r="Q183" s="9">
        <v>2933713349.1500001</v>
      </c>
      <c r="R183" s="26">
        <f t="shared" si="81"/>
        <v>0.98418833905622261</v>
      </c>
      <c r="S183" s="9">
        <v>5543187.1500000004</v>
      </c>
      <c r="T183" s="10">
        <v>5543187.1500000004</v>
      </c>
    </row>
    <row r="184" spans="1:20" ht="32.25" customHeight="1" x14ac:dyDescent="0.25">
      <c r="A184" s="94" t="s">
        <v>18</v>
      </c>
      <c r="B184" s="7" t="s">
        <v>96</v>
      </c>
      <c r="C184" s="7" t="s">
        <v>90</v>
      </c>
      <c r="D184" s="7">
        <v>25</v>
      </c>
      <c r="E184" s="7" t="s">
        <v>219</v>
      </c>
      <c r="F184" s="7">
        <v>2999054</v>
      </c>
      <c r="G184" s="23" t="s">
        <v>226</v>
      </c>
      <c r="H184" s="7" t="s">
        <v>5</v>
      </c>
      <c r="I184" s="8">
        <v>10</v>
      </c>
      <c r="J184" s="9">
        <v>15337259434</v>
      </c>
      <c r="K184" s="27">
        <v>0</v>
      </c>
      <c r="L184" s="27">
        <v>292632263</v>
      </c>
      <c r="M184" s="44">
        <f t="shared" si="110"/>
        <v>15044627171</v>
      </c>
      <c r="N184" s="27">
        <v>0</v>
      </c>
      <c r="O184" s="27">
        <v>15044627161</v>
      </c>
      <c r="P184" s="27">
        <f t="shared" si="126"/>
        <v>10</v>
      </c>
      <c r="Q184" s="9">
        <v>15044627161</v>
      </c>
      <c r="R184" s="25">
        <f t="shared" si="81"/>
        <v>0.99999999933531092</v>
      </c>
      <c r="S184" s="9">
        <v>1482705</v>
      </c>
      <c r="T184" s="10">
        <v>1482705</v>
      </c>
    </row>
    <row r="185" spans="1:20" ht="16.5" customHeight="1" x14ac:dyDescent="0.25">
      <c r="A185" s="81" t="s">
        <v>18</v>
      </c>
      <c r="B185" s="81"/>
      <c r="C185" s="81"/>
      <c r="D185" s="81"/>
      <c r="E185" s="81"/>
      <c r="F185" s="81"/>
      <c r="G185" s="82" t="s">
        <v>19</v>
      </c>
      <c r="H185" s="81" t="s">
        <v>5</v>
      </c>
      <c r="I185" s="83">
        <v>10</v>
      </c>
      <c r="J185" s="64">
        <f t="shared" ref="J185:P185" si="127">J129+J161</f>
        <v>112961000000</v>
      </c>
      <c r="K185" s="64">
        <f t="shared" si="127"/>
        <v>759794138</v>
      </c>
      <c r="L185" s="64">
        <f t="shared" si="127"/>
        <v>2031423480</v>
      </c>
      <c r="M185" s="64">
        <f t="shared" si="127"/>
        <v>111689370658</v>
      </c>
      <c r="N185" s="3">
        <f t="shared" si="127"/>
        <v>0</v>
      </c>
      <c r="O185" s="64">
        <f>O129+O161</f>
        <v>111417184346.07999</v>
      </c>
      <c r="P185" s="64">
        <f t="shared" si="127"/>
        <v>272186311.92000085</v>
      </c>
      <c r="Q185" s="64">
        <f>Q129+Q161</f>
        <v>111417184346.07999</v>
      </c>
      <c r="R185" s="76">
        <f t="shared" si="81"/>
        <v>0.9975630061274724</v>
      </c>
      <c r="S185" s="64">
        <f>S129+S161</f>
        <v>35073415046</v>
      </c>
      <c r="T185" s="73">
        <f>T129+T161</f>
        <v>35072652039.510002</v>
      </c>
    </row>
    <row r="186" spans="1:20" ht="15" customHeight="1" x14ac:dyDescent="0.25">
      <c r="A186" s="81" t="s">
        <v>18</v>
      </c>
      <c r="B186" s="81"/>
      <c r="C186" s="81"/>
      <c r="D186" s="81"/>
      <c r="E186" s="81"/>
      <c r="F186" s="81"/>
      <c r="G186" s="82" t="s">
        <v>19</v>
      </c>
      <c r="H186" s="81" t="s">
        <v>8</v>
      </c>
      <c r="I186" s="83">
        <v>21</v>
      </c>
      <c r="J186" s="64">
        <f>J130</f>
        <v>1194647000</v>
      </c>
      <c r="K186" s="64">
        <f>K130</f>
        <v>0</v>
      </c>
      <c r="L186" s="64">
        <f>L130</f>
        <v>0</v>
      </c>
      <c r="M186" s="64">
        <f>M130</f>
        <v>1194647000</v>
      </c>
      <c r="N186" s="3">
        <v>0</v>
      </c>
      <c r="O186" s="64">
        <f>O130</f>
        <v>1194647000</v>
      </c>
      <c r="P186" s="64">
        <f>P130</f>
        <v>0</v>
      </c>
      <c r="Q186" s="64">
        <f>Q130</f>
        <v>1194647000</v>
      </c>
      <c r="R186" s="76">
        <f t="shared" si="81"/>
        <v>1</v>
      </c>
      <c r="S186" s="64">
        <f>S130</f>
        <v>363150</v>
      </c>
      <c r="T186" s="73">
        <f>T130</f>
        <v>363150</v>
      </c>
    </row>
    <row r="187" spans="1:20" s="5" customFormat="1" ht="13.5" customHeight="1" thickBot="1" x14ac:dyDescent="0.25">
      <c r="A187" s="139" t="s">
        <v>29</v>
      </c>
      <c r="B187" s="140"/>
      <c r="C187" s="140"/>
      <c r="D187" s="140"/>
      <c r="E187" s="140"/>
      <c r="F187" s="140"/>
      <c r="G187" s="140"/>
      <c r="H187" s="140"/>
      <c r="I187" s="141"/>
      <c r="J187" s="40">
        <f t="shared" ref="J187:P187" si="128">SUM(J185:J186)</f>
        <v>114155647000</v>
      </c>
      <c r="K187" s="40">
        <f t="shared" si="128"/>
        <v>759794138</v>
      </c>
      <c r="L187" s="40">
        <f t="shared" si="128"/>
        <v>2031423480</v>
      </c>
      <c r="M187" s="40">
        <f t="shared" si="128"/>
        <v>112884017658</v>
      </c>
      <c r="N187" s="40">
        <f t="shared" si="128"/>
        <v>0</v>
      </c>
      <c r="O187" s="40">
        <f>SUM(O185:O186)</f>
        <v>112611831346.07999</v>
      </c>
      <c r="P187" s="40">
        <f t="shared" si="128"/>
        <v>272186311.92000085</v>
      </c>
      <c r="Q187" s="40">
        <f>SUM(Q185:Q186)</f>
        <v>112611831346.07999</v>
      </c>
      <c r="R187" s="42">
        <f t="shared" si="81"/>
        <v>0.99758879673520617</v>
      </c>
      <c r="S187" s="40">
        <f>SUM(S185:S186)</f>
        <v>35073778196</v>
      </c>
      <c r="T187" s="53">
        <f>SUM(T185:T186)</f>
        <v>35073015189.510002</v>
      </c>
    </row>
    <row r="188" spans="1:20" s="15" customFormat="1" ht="11.25" customHeight="1" thickBot="1" x14ac:dyDescent="0.3">
      <c r="A188" s="139" t="s">
        <v>30</v>
      </c>
      <c r="B188" s="140"/>
      <c r="C188" s="140"/>
      <c r="D188" s="140"/>
      <c r="E188" s="140"/>
      <c r="F188" s="140"/>
      <c r="G188" s="140"/>
      <c r="H188" s="140"/>
      <c r="I188" s="140"/>
      <c r="J188" s="80">
        <f>+J187+J127</f>
        <v>503698560000</v>
      </c>
      <c r="K188" s="80">
        <f t="shared" ref="K188:N188" si="129">+K187+K127</f>
        <v>26223900875.68</v>
      </c>
      <c r="L188" s="80">
        <f t="shared" si="129"/>
        <v>50726656454.68</v>
      </c>
      <c r="M188" s="80">
        <f t="shared" si="129"/>
        <v>479195804421</v>
      </c>
      <c r="N188" s="79">
        <f t="shared" si="129"/>
        <v>0</v>
      </c>
      <c r="O188" s="40">
        <f>+O187+O127</f>
        <v>477417833419.42993</v>
      </c>
      <c r="P188" s="40">
        <f>+P187+P127</f>
        <v>1777971001.5699992</v>
      </c>
      <c r="Q188" s="40">
        <f>+Q187+Q127</f>
        <v>477417833419.42993</v>
      </c>
      <c r="R188" s="42">
        <f t="shared" si="81"/>
        <v>0.99628967744465469</v>
      </c>
      <c r="S188" s="40">
        <f>+S187+S127</f>
        <v>387928504069</v>
      </c>
      <c r="T188" s="53">
        <f>+T187+T127</f>
        <v>378934097612.51001</v>
      </c>
    </row>
    <row r="189" spans="1:20" s="15" customFormat="1" ht="6.75" customHeight="1" x14ac:dyDescent="0.25">
      <c r="A189" s="109"/>
      <c r="B189" s="109"/>
      <c r="C189" s="109"/>
      <c r="D189" s="109"/>
      <c r="E189" s="109"/>
      <c r="F189" s="109"/>
      <c r="G189" s="109"/>
      <c r="H189" s="109"/>
      <c r="I189" s="109"/>
      <c r="J189" s="104"/>
      <c r="K189" s="104"/>
      <c r="L189" s="104"/>
      <c r="M189" s="104"/>
      <c r="N189" s="104"/>
      <c r="O189" s="104"/>
      <c r="P189" s="104"/>
      <c r="Q189" s="104"/>
      <c r="R189" s="110"/>
      <c r="S189" s="104"/>
      <c r="T189" s="104"/>
    </row>
    <row r="190" spans="1:20" s="15" customFormat="1" ht="9" customHeight="1" x14ac:dyDescent="0.25">
      <c r="A190" s="15" t="s">
        <v>32</v>
      </c>
      <c r="E190" s="16"/>
      <c r="F190" s="17"/>
      <c r="G190" s="18"/>
      <c r="H190" s="19"/>
      <c r="I190" s="20"/>
      <c r="J190" s="20"/>
      <c r="K190" s="20"/>
      <c r="L190" s="20"/>
      <c r="M190" s="104">
        <f>M188-[4]REP_EPG034_EjecucionPresupuesta!$T$38</f>
        <v>0</v>
      </c>
      <c r="N190" s="60"/>
      <c r="O190" s="45"/>
      <c r="P190" s="21"/>
      <c r="Q190" s="30"/>
      <c r="R190" s="21"/>
      <c r="S190" s="66"/>
      <c r="T190" s="66"/>
    </row>
    <row r="191" spans="1:20" s="15" customFormat="1" ht="9" customHeight="1" x14ac:dyDescent="0.25">
      <c r="A191" s="15" t="s">
        <v>214</v>
      </c>
      <c r="E191" s="16"/>
      <c r="F191" s="17"/>
      <c r="G191" s="18"/>
      <c r="H191" s="19"/>
      <c r="I191" s="20"/>
      <c r="J191" s="20"/>
      <c r="K191" s="20"/>
      <c r="L191" s="20"/>
      <c r="N191" s="66"/>
      <c r="O191" s="28"/>
      <c r="P191" s="21">
        <f>N29</f>
        <v>0</v>
      </c>
      <c r="Q191" s="31"/>
      <c r="R191" s="21"/>
    </row>
    <row r="192" spans="1:20" s="15" customFormat="1" ht="9" customHeight="1" x14ac:dyDescent="0.25">
      <c r="A192" s="15" t="s">
        <v>213</v>
      </c>
      <c r="E192" s="16"/>
      <c r="F192" s="17"/>
      <c r="G192" s="18"/>
      <c r="H192" s="19"/>
      <c r="I192" s="20"/>
      <c r="J192" s="20"/>
      <c r="K192" s="20"/>
      <c r="L192" s="111"/>
      <c r="M192" s="66"/>
      <c r="N192" s="21"/>
      <c r="O192" s="67"/>
      <c r="P192" s="21"/>
      <c r="Q192" s="31"/>
      <c r="R192" s="21"/>
    </row>
    <row r="193" spans="1:20" x14ac:dyDescent="0.25">
      <c r="A193" s="15" t="s">
        <v>241</v>
      </c>
      <c r="B193" s="15"/>
      <c r="C193" s="15"/>
      <c r="D193" s="15"/>
      <c r="E193" s="16"/>
      <c r="F193" s="17"/>
      <c r="G193" s="18"/>
      <c r="H193" s="19"/>
      <c r="I193" s="20"/>
      <c r="J193" s="20"/>
      <c r="K193" s="20"/>
      <c r="L193" s="20"/>
      <c r="M193" s="15"/>
      <c r="N193" s="66"/>
      <c r="O193" s="28"/>
      <c r="P193" s="21"/>
      <c r="Q193" s="31"/>
      <c r="R193" s="21"/>
      <c r="S193" s="15"/>
      <c r="T193" s="15"/>
    </row>
    <row r="194" spans="1:20" x14ac:dyDescent="0.25">
      <c r="L194" s="112"/>
    </row>
    <row r="196" spans="1:20" x14ac:dyDescent="0.25">
      <c r="O196" s="120"/>
      <c r="Q196" s="121"/>
    </row>
  </sheetData>
  <mergeCells count="13">
    <mergeCell ref="A2:T2"/>
    <mergeCell ref="A1:F1"/>
    <mergeCell ref="A128:T128"/>
    <mergeCell ref="A187:I187"/>
    <mergeCell ref="A188:I188"/>
    <mergeCell ref="A34:I34"/>
    <mergeCell ref="A35:T35"/>
    <mergeCell ref="A92:I92"/>
    <mergeCell ref="A93:T93"/>
    <mergeCell ref="A122:I122"/>
    <mergeCell ref="A127:I127"/>
    <mergeCell ref="A106:T106"/>
    <mergeCell ref="A105:I105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DICIEMBRE 31-2025
&amp;R
Página &amp;P de &amp;N</oddHeader>
  </headerFooter>
  <ignoredErrors>
    <ignoredError sqref="N54 N23:N31 F120 H120:I120 C33:I33 Q33 G23:I26 H27:I27 G28:I31 H53:I54 H56:I58 C18:D18 C19:E26 C3:E4 I4 C46:I47 C102:F102 C36 C5:F17 C27:F32 N90:O90 N98:Q98 P119 N119 N109:O109 C103 Q109 S91:T92 S96:T99 S105:T105 B120:E121 B96:B104 F103 H103 B94:I95 C104:I104 N105:O105 N33:O34 S33:T34 F119 C97:I98 C89:I91 B169:D170 N91:Q91 B161:E161 F164 F166:F167 F169:F170 F179:F180 B156:C156 B162:D167 B168:J168 N168 C88:F88 B88:B91 B46:B48 C48:F48 B176:L176 B173:C175 L175 N97 Q96:Q97 N99:O99 Q99 Q105 C37:F43 B177:D180 B3:B33 B157:D160 F157:F160 E171:F171 H173:I173 K173 H174:L174 E174:F174 H175:I175 F177:I177 K177 C96:F96 H96:I96 C100:I101 C99:F99 H99:I99 B181:C184 B147:D147 I88 B36:B43 I69:I86 B69:F87 O92:Q92 B107:I111 B112:C113 T109 B114:H114 B44:F45 I112:I113 B115:D116 H171:I171 B171:C171 B49:F67 I59:I67 B68:F68 B119 C119:E119 H119 B117:D117 B118:C118 N56:N58" numberStoredAsText="1"/>
    <ignoredError sqref="M18:N18 P18 M26 M99 M156:P156 M178:P178 M181:N181 P132 A123:I123 G132:I132 G134:I134 A148:A155 E131:L131 E135:F135 E139:L139 G148:I148 G151:I151 A128:T128 A125:Q125 S124:T126 M132:N132 H135:L135 E143:I143 H153:I153 P151 G136:I138 M135:N137 G154:I155 L144:N144 G144:I146 M145:N146 P153:P155 A130:F130 H130:I130 P134:P138 P141:P142 P144:P146 M163:N163 P109 N131:O131 Q131 G149:H150 N149:N150 M134 E140:O140 A124:O124 Q124 A129:I129 G141:I142 M151:N151 N123:O123 M153:M155 N139:O139 P168 K132 K134 K136 L138:N138 K141:N142 K145:K146 K149 K151 K153 K155 A131:A146 J162:L162 S162:T162 A127:J127 T127 P163:P164 P181 P175 P133:Q133 H152:T152 S131:T131 K143:T143 S133:T133 R18 R3:R4 R26 R33:R34 R36 R46:R48 R129:R131 R133:R135 R147:R148 R156 R161:R165 R168:R171 R174:R183 R185:R188 Q139:T140 R94:R101 E133:N133 R89:R92 P26 L47 R107:R112 M102 P102 L127 R120:R127 M165 M112 R114:R115 M162:Q162 N164:N165 N92 P96 M171:N171 P171 M168 P112 R118 R104:R105 P118 M118 O127:P127 A126:M126 O126:Q126 L96" formula="1"/>
    <ignoredError sqref="M177 M176:P176 M174:N175 M173 B152:F152 B148:F148 P177 F132 F134 F136:F138 B143:D146 F144:F146 B149:D151 F149:F151 B153:D155 B141:F142 B131:D140 F153:F155 P173:P174 N108" numberStoredAsText="1" formula="1"/>
    <ignoredError sqref="R102:R103" evalError="1" formula="1"/>
  </ignoredErrors>
  <legacyDrawingHF r:id="rId2"/>
</worksheet>
</file>

<file path=docMetadata/LabelInfo.xml><?xml version="1.0" encoding="utf-8"?>
<clbl:labelList xmlns:clbl="http://schemas.microsoft.com/office/2020/mipLabelMetadata">
  <clbl:label id="{ce000cd5-0841-4431-a124-062ac493f284}" enabled="0" method="" siteId="{ce000cd5-0841-4431-a124-062ac493f2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DICIEMBRE 31-2025</vt:lpstr>
      <vt:lpstr>'DICIEMBRE 31-2025'!Área_de_impresión</vt:lpstr>
      <vt:lpstr>'DICIEMBRE 31-2025'!Títulos_a_imprimir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2025-05-05T13:25:00Z</cp:lastPrinted>
  <dcterms:created xsi:type="dcterms:W3CDTF">2016-02-01T15:56:25Z</dcterms:created>
  <dcterms:modified xsi:type="dcterms:W3CDTF">2026-02-02T19:13:48Z</dcterms:modified>
</cp:coreProperties>
</file>