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RESUPUESTO\PRES-2025 -OCTUBRE-28-2025\INFORMES DE EJECUCION 2025\AGOSTO-31-2025\"/>
    </mc:Choice>
  </mc:AlternateContent>
  <xr:revisionPtr revIDLastSave="0" documentId="13_ncr:1_{18623F29-F036-456C-9999-855EA0B1F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-31-2025" sheetId="11" r:id="rId1"/>
  </sheets>
  <externalReferences>
    <externalReference r:id="rId2"/>
  </externalReferences>
  <definedNames>
    <definedName name="_xlnm._FilterDatabase" localSheetId="0" hidden="1">'AGOSTO-31-2025'!$A$1:$IY$185</definedName>
    <definedName name="_xlnm.Print_Area" localSheetId="0">'AGOSTO-31-2025'!$A$1:$T$185</definedName>
    <definedName name="_xlnm.Print_Titles" localSheetId="0">'AGOSTO-31-2025'!$1:$1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0" i="11" l="1"/>
  <c r="N88" i="11"/>
  <c r="N87" i="11"/>
  <c r="M87" i="11"/>
  <c r="N89" i="11"/>
  <c r="P45" i="11"/>
  <c r="O45" i="11"/>
  <c r="T45" i="11"/>
  <c r="S45" i="11"/>
  <c r="L45" i="11"/>
  <c r="K45" i="11"/>
  <c r="M45" i="11"/>
  <c r="Q45" i="11"/>
  <c r="Q188" i="11" s="1"/>
  <c r="O188" i="11"/>
  <c r="P183" i="11"/>
  <c r="O36" i="11"/>
  <c r="P160" i="11"/>
  <c r="M129" i="11"/>
  <c r="M130" i="11"/>
  <c r="M131" i="11"/>
  <c r="L36" i="11" l="1"/>
  <c r="K36" i="11"/>
  <c r="L72" i="11"/>
  <c r="M90" i="11"/>
  <c r="K90" i="11"/>
  <c r="J90" i="11"/>
  <c r="J89" i="11"/>
  <c r="J88" i="11"/>
  <c r="L87" i="11"/>
  <c r="L90" i="11" s="1"/>
  <c r="K87" i="11"/>
  <c r="J87" i="11"/>
  <c r="M48" i="11"/>
  <c r="M50" i="11"/>
  <c r="K51" i="11"/>
  <c r="L51" i="11"/>
  <c r="M51" i="11"/>
  <c r="K52" i="11"/>
  <c r="L52" i="11"/>
  <c r="M52" i="11"/>
  <c r="K53" i="11"/>
  <c r="L53" i="11"/>
  <c r="M53" i="11"/>
  <c r="K54" i="11"/>
  <c r="M54" i="11" s="1"/>
  <c r="L54" i="11"/>
  <c r="K55" i="11"/>
  <c r="L55" i="11"/>
  <c r="M55" i="11"/>
  <c r="K56" i="11"/>
  <c r="L56" i="11"/>
  <c r="M56" i="11"/>
  <c r="K57" i="11"/>
  <c r="L57" i="11"/>
  <c r="M57" i="11"/>
  <c r="K58" i="11"/>
  <c r="M58" i="11" s="1"/>
  <c r="L58" i="11"/>
  <c r="K59" i="11"/>
  <c r="L59" i="11"/>
  <c r="M59" i="11"/>
  <c r="K60" i="11"/>
  <c r="L60" i="11"/>
  <c r="M60" i="11"/>
  <c r="K61" i="11"/>
  <c r="M61" i="11"/>
  <c r="K62" i="11"/>
  <c r="L62" i="11"/>
  <c r="M62" i="11"/>
  <c r="K63" i="11"/>
  <c r="M63" i="11" s="1"/>
  <c r="L63" i="11"/>
  <c r="K64" i="11"/>
  <c r="L64" i="11"/>
  <c r="M64" i="11"/>
  <c r="K65" i="11"/>
  <c r="L65" i="11"/>
  <c r="M65" i="11"/>
  <c r="K66" i="11"/>
  <c r="L66" i="11"/>
  <c r="M66" i="11"/>
  <c r="K67" i="11"/>
  <c r="M67" i="11" s="1"/>
  <c r="L67" i="11"/>
  <c r="K68" i="11"/>
  <c r="M68" i="11" s="1"/>
  <c r="K69" i="11"/>
  <c r="L69" i="11"/>
  <c r="M69" i="11"/>
  <c r="M70" i="11"/>
  <c r="M71" i="11"/>
  <c r="K72" i="11"/>
  <c r="M72" i="11" s="1"/>
  <c r="M73" i="11"/>
  <c r="M74" i="11"/>
  <c r="M75" i="11"/>
  <c r="M76" i="11"/>
  <c r="K77" i="11"/>
  <c r="M77" i="11"/>
  <c r="K78" i="11"/>
  <c r="L78" i="11"/>
  <c r="M78" i="11"/>
  <c r="K79" i="11"/>
  <c r="M79" i="11"/>
  <c r="L80" i="11"/>
  <c r="M80" i="11" s="1"/>
  <c r="K81" i="11"/>
  <c r="L81" i="11"/>
  <c r="M81" i="11" s="1"/>
  <c r="K82" i="11"/>
  <c r="L82" i="11"/>
  <c r="M82" i="11"/>
  <c r="K83" i="11"/>
  <c r="L83" i="11"/>
  <c r="M83" i="11" s="1"/>
  <c r="K84" i="11"/>
  <c r="M84" i="11" s="1"/>
  <c r="L84" i="11"/>
  <c r="M85" i="11"/>
  <c r="K86" i="11"/>
  <c r="M86" i="11" s="1"/>
  <c r="M49" i="11"/>
  <c r="J45" i="11"/>
  <c r="M36" i="11"/>
  <c r="N45" i="11" l="1"/>
  <c r="R50" i="11"/>
  <c r="P50" i="11"/>
  <c r="R49" i="11"/>
  <c r="P49" i="11"/>
  <c r="K39" i="11"/>
  <c r="K38" i="11"/>
  <c r="L43" i="11"/>
  <c r="K37" i="11"/>
  <c r="L39" i="11"/>
  <c r="K48" i="11"/>
  <c r="L46" i="11"/>
  <c r="L38" i="11"/>
  <c r="L42" i="11"/>
  <c r="L44" i="11"/>
  <c r="K43" i="11"/>
  <c r="K41" i="11"/>
  <c r="L41" i="11"/>
  <c r="R48" i="11" l="1"/>
  <c r="P48" i="11" l="1"/>
  <c r="T46" i="11" l="1"/>
  <c r="S46" i="11"/>
  <c r="Q46" i="11"/>
  <c r="O46" i="11"/>
  <c r="N46" i="11"/>
  <c r="K46" i="11"/>
  <c r="K88" i="11" s="1"/>
  <c r="J46" i="11"/>
  <c r="P85" i="11"/>
  <c r="K44" i="11"/>
  <c r="R85" i="11" l="1"/>
  <c r="T47" i="11"/>
  <c r="P54" i="11"/>
  <c r="R64" i="11"/>
  <c r="O126" i="11"/>
  <c r="O47" i="11"/>
  <c r="P64" i="11" l="1"/>
  <c r="R175" i="11"/>
  <c r="R165" i="11"/>
  <c r="R160" i="11"/>
  <c r="R159" i="11"/>
  <c r="R153" i="11"/>
  <c r="R148" i="11"/>
  <c r="R147" i="11"/>
  <c r="R146" i="11"/>
  <c r="R138" i="11"/>
  <c r="R112" i="11"/>
  <c r="R101" i="11"/>
  <c r="R100" i="11"/>
  <c r="R94" i="11"/>
  <c r="R63" i="11"/>
  <c r="R44" i="11"/>
  <c r="T128" i="11"/>
  <c r="S128" i="11"/>
  <c r="Q128" i="11"/>
  <c r="O128" i="11"/>
  <c r="O140" i="11" l="1"/>
  <c r="O141" i="11"/>
  <c r="R53" i="11"/>
  <c r="R55" i="11"/>
  <c r="R57" i="11"/>
  <c r="R58" i="11"/>
  <c r="R59" i="11"/>
  <c r="R60" i="11"/>
  <c r="R61" i="11"/>
  <c r="R62" i="11"/>
  <c r="P63" i="11"/>
  <c r="R65" i="11"/>
  <c r="R68" i="11"/>
  <c r="R69" i="11"/>
  <c r="R70" i="11"/>
  <c r="R71" i="11"/>
  <c r="R75" i="11"/>
  <c r="R76" i="11"/>
  <c r="R80" i="11"/>
  <c r="R83" i="11"/>
  <c r="R84" i="11"/>
  <c r="R86" i="11"/>
  <c r="R52" i="11"/>
  <c r="R56" i="11"/>
  <c r="R78" i="11"/>
  <c r="R54" i="11"/>
  <c r="R66" i="11"/>
  <c r="T36" i="11"/>
  <c r="S36" i="11"/>
  <c r="Q36" i="11"/>
  <c r="O87" i="11"/>
  <c r="N36" i="11"/>
  <c r="J36" i="11"/>
  <c r="M44" i="11"/>
  <c r="R72" i="11"/>
  <c r="T164" i="11"/>
  <c r="S164" i="11"/>
  <c r="Q164" i="11"/>
  <c r="R164" i="11" s="1"/>
  <c r="O164" i="11"/>
  <c r="N164" i="11"/>
  <c r="L164" i="11"/>
  <c r="K164" i="11"/>
  <c r="J164" i="11"/>
  <c r="O166" i="11"/>
  <c r="O161" i="11"/>
  <c r="O158" i="11"/>
  <c r="O156" i="11"/>
  <c r="R77" i="11"/>
  <c r="N93" i="11"/>
  <c r="N92" i="11" s="1"/>
  <c r="J136" i="11"/>
  <c r="R82" i="11" l="1"/>
  <c r="M46" i="11"/>
  <c r="R73" i="11"/>
  <c r="P51" i="11"/>
  <c r="R51" i="11"/>
  <c r="M47" i="11"/>
  <c r="R74" i="11"/>
  <c r="R81" i="11"/>
  <c r="R67" i="11"/>
  <c r="P67" i="11"/>
  <c r="R79" i="11"/>
  <c r="P44" i="11"/>
  <c r="J156" i="11"/>
  <c r="T140" i="11"/>
  <c r="S140" i="11"/>
  <c r="Q140" i="11"/>
  <c r="N140" i="11"/>
  <c r="L140" i="11"/>
  <c r="K140" i="11"/>
  <c r="J140" i="11"/>
  <c r="J107" i="11"/>
  <c r="T141" i="11"/>
  <c r="S141" i="11"/>
  <c r="Q141" i="11"/>
  <c r="N141" i="11"/>
  <c r="L141" i="11"/>
  <c r="K141" i="11"/>
  <c r="J141" i="11"/>
  <c r="T93" i="11"/>
  <c r="S93" i="11"/>
  <c r="Q93" i="11"/>
  <c r="R93" i="11" s="1"/>
  <c r="O93" i="11"/>
  <c r="L93" i="11"/>
  <c r="K93" i="11"/>
  <c r="J93" i="11"/>
  <c r="J92" i="11" s="1"/>
  <c r="J173" i="11"/>
  <c r="Q158" i="11"/>
  <c r="M175" i="11"/>
  <c r="P175" i="11" s="1"/>
  <c r="M174" i="11"/>
  <c r="T173" i="11"/>
  <c r="S173" i="11"/>
  <c r="Q173" i="11"/>
  <c r="O173" i="11"/>
  <c r="L170" i="11"/>
  <c r="K170" i="11"/>
  <c r="K173" i="11"/>
  <c r="L173" i="11"/>
  <c r="M112" i="11"/>
  <c r="M109" i="11"/>
  <c r="R109" i="11" s="1"/>
  <c r="M108" i="11"/>
  <c r="M125" i="11"/>
  <c r="L107" i="11"/>
  <c r="R45" i="11" l="1"/>
  <c r="P174" i="11"/>
  <c r="R174" i="11"/>
  <c r="M124" i="11"/>
  <c r="R125" i="11"/>
  <c r="P108" i="11"/>
  <c r="R108" i="11"/>
  <c r="M142" i="11"/>
  <c r="R142" i="11" s="1"/>
  <c r="M143" i="11"/>
  <c r="S126" i="11"/>
  <c r="T126" i="11"/>
  <c r="P143" i="11" l="1"/>
  <c r="R143" i="11"/>
  <c r="M140" i="11"/>
  <c r="R140" i="11" s="1"/>
  <c r="P142" i="11"/>
  <c r="P140" i="11" l="1"/>
  <c r="J100" i="11"/>
  <c r="J97" i="11"/>
  <c r="M40" i="11" l="1"/>
  <c r="P40" i="11" l="1"/>
  <c r="R40" i="11"/>
  <c r="P60" i="11"/>
  <c r="P68" i="11"/>
  <c r="P76" i="11" l="1"/>
  <c r="P77" i="11" l="1"/>
  <c r="Q87" i="11" l="1"/>
  <c r="M41" i="11"/>
  <c r="J96" i="11"/>
  <c r="J95" i="11" s="1"/>
  <c r="J102" i="11" s="1"/>
  <c r="J103" i="11" s="1"/>
  <c r="T26" i="11"/>
  <c r="T18" i="11"/>
  <c r="T4" i="11"/>
  <c r="P41" i="11" l="1"/>
  <c r="R41" i="11"/>
  <c r="S87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38" i="11"/>
  <c r="R38" i="11" s="1"/>
  <c r="M42" i="11"/>
  <c r="M43" i="11"/>
  <c r="R43" i="11" s="1"/>
  <c r="J128" i="11"/>
  <c r="J149" i="11"/>
  <c r="J145" i="11"/>
  <c r="N173" i="11"/>
  <c r="T170" i="11"/>
  <c r="S170" i="11"/>
  <c r="Q170" i="11"/>
  <c r="O170" i="11"/>
  <c r="N170" i="11"/>
  <c r="J170" i="11"/>
  <c r="T168" i="11"/>
  <c r="S168" i="11"/>
  <c r="Q168" i="11"/>
  <c r="O168" i="11"/>
  <c r="N168" i="11"/>
  <c r="L168" i="11"/>
  <c r="K168" i="11"/>
  <c r="J168" i="11"/>
  <c r="T166" i="11"/>
  <c r="S166" i="11"/>
  <c r="Q166" i="11"/>
  <c r="N166" i="11"/>
  <c r="L166" i="11"/>
  <c r="K166" i="11"/>
  <c r="J166" i="11"/>
  <c r="T161" i="11"/>
  <c r="S161" i="11"/>
  <c r="Q161" i="11"/>
  <c r="N161" i="11"/>
  <c r="L161" i="11"/>
  <c r="K161" i="11"/>
  <c r="J161" i="11"/>
  <c r="T158" i="11"/>
  <c r="S158" i="11"/>
  <c r="N158" i="11"/>
  <c r="L158" i="11"/>
  <c r="K158" i="11"/>
  <c r="J158" i="11"/>
  <c r="T156" i="11"/>
  <c r="S156" i="11"/>
  <c r="Q156" i="11"/>
  <c r="N156" i="11"/>
  <c r="L156" i="11"/>
  <c r="K156" i="11"/>
  <c r="T149" i="11"/>
  <c r="S149" i="11"/>
  <c r="Q149" i="11"/>
  <c r="O149" i="11"/>
  <c r="N149" i="11"/>
  <c r="L149" i="11"/>
  <c r="K149" i="11"/>
  <c r="K145" i="11"/>
  <c r="T145" i="11"/>
  <c r="S145" i="11"/>
  <c r="Q145" i="11"/>
  <c r="R145" i="11" s="1"/>
  <c r="O145" i="11"/>
  <c r="N145" i="11"/>
  <c r="L145" i="11"/>
  <c r="L136" i="11"/>
  <c r="K136" i="11"/>
  <c r="T136" i="11"/>
  <c r="S136" i="11"/>
  <c r="Q136" i="11"/>
  <c r="O136" i="11"/>
  <c r="N136" i="11"/>
  <c r="T133" i="11"/>
  <c r="T123" i="11" s="1"/>
  <c r="S133" i="11"/>
  <c r="S123" i="11" s="1"/>
  <c r="Q133" i="11"/>
  <c r="O133" i="11"/>
  <c r="O123" i="11" s="1"/>
  <c r="N133" i="11"/>
  <c r="N123" i="11" s="1"/>
  <c r="L133" i="11"/>
  <c r="L123" i="11" s="1"/>
  <c r="K133" i="11"/>
  <c r="K123" i="11" s="1"/>
  <c r="J133" i="11"/>
  <c r="J123" i="11" s="1"/>
  <c r="T132" i="11"/>
  <c r="S132" i="11"/>
  <c r="Q132" i="11"/>
  <c r="O132" i="11"/>
  <c r="N132" i="11"/>
  <c r="L132" i="11"/>
  <c r="K132" i="11"/>
  <c r="J132" i="11"/>
  <c r="N128" i="11"/>
  <c r="L128" i="11"/>
  <c r="K128" i="11"/>
  <c r="J126" i="11"/>
  <c r="T124" i="11"/>
  <c r="S124" i="11"/>
  <c r="Q124" i="11"/>
  <c r="R124" i="11" s="1"/>
  <c r="O124" i="11"/>
  <c r="J124" i="11"/>
  <c r="P32" i="11" l="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2" i="11"/>
  <c r="R37" i="11"/>
  <c r="Q123" i="11"/>
  <c r="S122" i="11"/>
  <c r="O155" i="11"/>
  <c r="O154" i="11" s="1"/>
  <c r="J155" i="11"/>
  <c r="J154" i="11" s="1"/>
  <c r="J122" i="11"/>
  <c r="K155" i="11"/>
  <c r="K154" i="11" s="1"/>
  <c r="N155" i="11"/>
  <c r="N154" i="11" s="1"/>
  <c r="L155" i="11"/>
  <c r="L154" i="11" s="1"/>
  <c r="Q155" i="11"/>
  <c r="T155" i="11"/>
  <c r="T154" i="11" s="1"/>
  <c r="S155" i="11"/>
  <c r="S154" i="11" s="1"/>
  <c r="M39" i="11"/>
  <c r="R39" i="11" s="1"/>
  <c r="P52" i="11"/>
  <c r="L126" i="11"/>
  <c r="K126" i="11"/>
  <c r="Q126" i="11"/>
  <c r="O122" i="11"/>
  <c r="N126" i="11"/>
  <c r="N124" i="11"/>
  <c r="L124" i="11"/>
  <c r="K124" i="11"/>
  <c r="M157" i="11"/>
  <c r="R157" i="11" s="1"/>
  <c r="M159" i="11"/>
  <c r="M158" i="11" s="1"/>
  <c r="R158" i="11" s="1"/>
  <c r="M162" i="11"/>
  <c r="R162" i="11" s="1"/>
  <c r="M163" i="11"/>
  <c r="R163" i="11" s="1"/>
  <c r="M165" i="11"/>
  <c r="M164" i="11" s="1"/>
  <c r="M167" i="11"/>
  <c r="R167" i="11" s="1"/>
  <c r="M169" i="11"/>
  <c r="R169" i="11" s="1"/>
  <c r="M171" i="11"/>
  <c r="R171" i="11" s="1"/>
  <c r="M172" i="11"/>
  <c r="M176" i="11"/>
  <c r="R176" i="11" s="1"/>
  <c r="M127" i="11"/>
  <c r="R130" i="11"/>
  <c r="R131" i="11"/>
  <c r="M134" i="11"/>
  <c r="M135" i="11"/>
  <c r="R135" i="11" s="1"/>
  <c r="M137" i="11"/>
  <c r="R137" i="11" s="1"/>
  <c r="M138" i="11"/>
  <c r="M139" i="11"/>
  <c r="R139" i="11" s="1"/>
  <c r="M144" i="11"/>
  <c r="M146" i="11"/>
  <c r="M147" i="11"/>
  <c r="M148" i="11"/>
  <c r="M150" i="11"/>
  <c r="R150" i="11" s="1"/>
  <c r="M151" i="11"/>
  <c r="R151" i="11" s="1"/>
  <c r="M152" i="11"/>
  <c r="R152" i="11" s="1"/>
  <c r="M153" i="11"/>
  <c r="P153" i="11" s="1"/>
  <c r="P109" i="11"/>
  <c r="M94" i="11"/>
  <c r="M93" i="11" s="1"/>
  <c r="M98" i="11"/>
  <c r="R98" i="11" s="1"/>
  <c r="M99" i="11"/>
  <c r="R99" i="11" s="1"/>
  <c r="M101" i="11"/>
  <c r="P83" i="11"/>
  <c r="N122" i="11" l="1"/>
  <c r="P26" i="11"/>
  <c r="O177" i="11"/>
  <c r="P172" i="11"/>
  <c r="R172" i="11"/>
  <c r="M126" i="11"/>
  <c r="R126" i="11" s="1"/>
  <c r="R127" i="11"/>
  <c r="M128" i="11"/>
  <c r="R128" i="11" s="1"/>
  <c r="R129" i="11"/>
  <c r="M132" i="11"/>
  <c r="R132" i="11" s="1"/>
  <c r="R134" i="11"/>
  <c r="Q154" i="11"/>
  <c r="M141" i="11"/>
  <c r="R141" i="11" s="1"/>
  <c r="R144" i="11"/>
  <c r="Q122" i="11"/>
  <c r="K122" i="11"/>
  <c r="L122" i="11"/>
  <c r="P176" i="11"/>
  <c r="P173" i="11" s="1"/>
  <c r="M173" i="11"/>
  <c r="R173" i="11" s="1"/>
  <c r="M170" i="11"/>
  <c r="R170" i="11" s="1"/>
  <c r="M149" i="11"/>
  <c r="R149" i="11" s="1"/>
  <c r="P171" i="11"/>
  <c r="M166" i="11"/>
  <c r="R166" i="11" s="1"/>
  <c r="P167" i="11"/>
  <c r="P127" i="11"/>
  <c r="P126" i="11" s="1"/>
  <c r="M156" i="11"/>
  <c r="R156" i="11" s="1"/>
  <c r="P157" i="11"/>
  <c r="P156" i="11" s="1"/>
  <c r="P137" i="11"/>
  <c r="M133" i="11"/>
  <c r="R133" i="11" s="1"/>
  <c r="P135" i="11"/>
  <c r="P133" i="11" s="1"/>
  <c r="P138" i="11"/>
  <c r="M168" i="11"/>
  <c r="R168" i="11" s="1"/>
  <c r="M136" i="11"/>
  <c r="R136" i="11" s="1"/>
  <c r="M145" i="11"/>
  <c r="M161" i="11"/>
  <c r="R161" i="11" s="1"/>
  <c r="P144" i="11"/>
  <c r="P141" i="11" s="1"/>
  <c r="K178" i="11"/>
  <c r="R36" i="11" l="1"/>
  <c r="P123" i="11"/>
  <c r="M122" i="11"/>
  <c r="R122" i="11" s="1"/>
  <c r="M123" i="11"/>
  <c r="M155" i="11"/>
  <c r="R155" i="11" s="1"/>
  <c r="T177" i="11"/>
  <c r="S177" i="11"/>
  <c r="Q177" i="11"/>
  <c r="J118" i="11"/>
  <c r="T178" i="11"/>
  <c r="S178" i="11"/>
  <c r="Q178" i="11"/>
  <c r="P163" i="11"/>
  <c r="P152" i="11"/>
  <c r="P151" i="11"/>
  <c r="P148" i="11"/>
  <c r="P147" i="11"/>
  <c r="P139" i="11"/>
  <c r="P136" i="11" s="1"/>
  <c r="P131" i="11"/>
  <c r="P130" i="11"/>
  <c r="P37" i="11"/>
  <c r="P38" i="11"/>
  <c r="P53" i="11"/>
  <c r="P55" i="11"/>
  <c r="P56" i="11"/>
  <c r="P57" i="11"/>
  <c r="P58" i="11"/>
  <c r="P59" i="11"/>
  <c r="P61" i="11"/>
  <c r="P62" i="11"/>
  <c r="P65" i="11"/>
  <c r="P66" i="11"/>
  <c r="P69" i="11"/>
  <c r="P70" i="11"/>
  <c r="P71" i="11"/>
  <c r="P72" i="11"/>
  <c r="P73" i="11"/>
  <c r="P46" i="11" s="1"/>
  <c r="P74" i="11"/>
  <c r="P47" i="11" s="1"/>
  <c r="P75" i="11"/>
  <c r="P78" i="11"/>
  <c r="P79" i="11"/>
  <c r="P80" i="11"/>
  <c r="P81" i="11"/>
  <c r="P82" i="11"/>
  <c r="P84" i="11"/>
  <c r="P86" i="11"/>
  <c r="P39" i="11"/>
  <c r="P43" i="11"/>
  <c r="L178" i="11"/>
  <c r="L111" i="11"/>
  <c r="L106" i="11" s="1"/>
  <c r="L114" i="11" s="1"/>
  <c r="L117" i="11" s="1"/>
  <c r="K111" i="11"/>
  <c r="K106" i="11" s="1"/>
  <c r="K114" i="11" s="1"/>
  <c r="K117" i="11" s="1"/>
  <c r="L105" i="11"/>
  <c r="L113" i="11" s="1"/>
  <c r="K107" i="11"/>
  <c r="K105" i="11" s="1"/>
  <c r="K113" i="11" s="1"/>
  <c r="L97" i="11"/>
  <c r="L96" i="11" s="1"/>
  <c r="L95" i="11" s="1"/>
  <c r="K97" i="11"/>
  <c r="K96" i="11" s="1"/>
  <c r="K95" i="11" s="1"/>
  <c r="L92" i="11"/>
  <c r="K92" i="11"/>
  <c r="L47" i="11"/>
  <c r="K47" i="11"/>
  <c r="L88" i="11"/>
  <c r="L26" i="11"/>
  <c r="K26" i="11"/>
  <c r="L18" i="11"/>
  <c r="K18" i="11"/>
  <c r="L4" i="11"/>
  <c r="K4" i="11"/>
  <c r="J178" i="11"/>
  <c r="J111" i="11"/>
  <c r="J110" i="11" s="1"/>
  <c r="J106" i="11" s="1"/>
  <c r="J114" i="11" s="1"/>
  <c r="J117" i="11" s="1"/>
  <c r="J105" i="11"/>
  <c r="J113" i="11" s="1"/>
  <c r="J47" i="11"/>
  <c r="J119" i="11" s="1"/>
  <c r="J26" i="11"/>
  <c r="J18" i="11"/>
  <c r="J4" i="11"/>
  <c r="O178" i="11"/>
  <c r="O179" i="11" s="1"/>
  <c r="M178" i="11" l="1"/>
  <c r="R123" i="11"/>
  <c r="R178" i="11"/>
  <c r="R87" i="11"/>
  <c r="P36" i="11"/>
  <c r="K118" i="11"/>
  <c r="K102" i="11"/>
  <c r="K103" i="11" s="1"/>
  <c r="S179" i="11"/>
  <c r="M100" i="11"/>
  <c r="Q179" i="11"/>
  <c r="M97" i="11"/>
  <c r="L89" i="11"/>
  <c r="L118" i="11"/>
  <c r="J177" i="11"/>
  <c r="J179" i="11" s="1"/>
  <c r="M4" i="11"/>
  <c r="L177" i="11"/>
  <c r="L179" i="11" s="1"/>
  <c r="K177" i="11"/>
  <c r="K179" i="11" s="1"/>
  <c r="K115" i="11"/>
  <c r="L115" i="11"/>
  <c r="L102" i="11"/>
  <c r="L103" i="11" s="1"/>
  <c r="L3" i="11"/>
  <c r="L33" i="11" s="1"/>
  <c r="L34" i="11" s="1"/>
  <c r="K3" i="11"/>
  <c r="K33" i="11" s="1"/>
  <c r="K34" i="11" s="1"/>
  <c r="N177" i="11"/>
  <c r="J115" i="11"/>
  <c r="J3" i="11"/>
  <c r="R46" i="11"/>
  <c r="Q47" i="11"/>
  <c r="R47" i="11" s="1"/>
  <c r="O88" i="11"/>
  <c r="M89" i="11"/>
  <c r="M92" i="11"/>
  <c r="P99" i="11"/>
  <c r="P101" i="11"/>
  <c r="P100" i="11" s="1"/>
  <c r="O100" i="11"/>
  <c r="N100" i="11"/>
  <c r="S26" i="11"/>
  <c r="Q26" i="11"/>
  <c r="O26" i="11"/>
  <c r="M26" i="11"/>
  <c r="S18" i="11"/>
  <c r="Q18" i="11"/>
  <c r="O18" i="11"/>
  <c r="M18" i="11"/>
  <c r="S4" i="11"/>
  <c r="Q4" i="11"/>
  <c r="O4" i="11"/>
  <c r="M3" i="11" l="1"/>
  <c r="R18" i="11"/>
  <c r="R26" i="11"/>
  <c r="R4" i="11"/>
  <c r="L116" i="11"/>
  <c r="J33" i="11"/>
  <c r="J34" i="11" s="1"/>
  <c r="M96" i="11"/>
  <c r="L119" i="11"/>
  <c r="K116" i="11"/>
  <c r="O92" i="11"/>
  <c r="M88" i="11"/>
  <c r="N118" i="11"/>
  <c r="O118" i="11"/>
  <c r="Q88" i="11"/>
  <c r="S88" i="11"/>
  <c r="T88" i="11"/>
  <c r="M119" i="11"/>
  <c r="N47" i="11"/>
  <c r="N119" i="11" s="1"/>
  <c r="O89" i="11"/>
  <c r="O119" i="11" s="1"/>
  <c r="S47" i="11"/>
  <c r="S89" i="11" s="1"/>
  <c r="S119" i="11" s="1"/>
  <c r="T89" i="11"/>
  <c r="T119" i="11" s="1"/>
  <c r="P159" i="11"/>
  <c r="P158" i="11" s="1"/>
  <c r="P162" i="11"/>
  <c r="P161" i="11" s="1"/>
  <c r="P165" i="11"/>
  <c r="P164" i="11" s="1"/>
  <c r="P166" i="11"/>
  <c r="P169" i="11"/>
  <c r="P168" i="11" s="1"/>
  <c r="P170" i="11"/>
  <c r="P129" i="11"/>
  <c r="P128" i="11" s="1"/>
  <c r="P134" i="11"/>
  <c r="P132" i="11" s="1"/>
  <c r="P146" i="11"/>
  <c r="P145" i="11" s="1"/>
  <c r="P150" i="11"/>
  <c r="P149" i="11" s="1"/>
  <c r="P125" i="11"/>
  <c r="P124" i="11" s="1"/>
  <c r="S107" i="11"/>
  <c r="S113" i="11" s="1"/>
  <c r="P94" i="11"/>
  <c r="P93" i="11" s="1"/>
  <c r="T92" i="11"/>
  <c r="S92" i="11"/>
  <c r="Q107" i="11"/>
  <c r="Q92" i="11"/>
  <c r="R92" i="11" s="1"/>
  <c r="N102" i="11"/>
  <c r="Q97" i="11"/>
  <c r="N4" i="11"/>
  <c r="O107" i="11"/>
  <c r="O105" i="11" s="1"/>
  <c r="M10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98" i="11"/>
  <c r="P97" i="11" s="1"/>
  <c r="T107" i="11"/>
  <c r="T105" i="11" s="1"/>
  <c r="O97" i="11"/>
  <c r="O96" i="11" s="1"/>
  <c r="O95" i="11" s="1"/>
  <c r="N18" i="11"/>
  <c r="P19" i="11"/>
  <c r="P20" i="11"/>
  <c r="P21" i="11"/>
  <c r="P22" i="11"/>
  <c r="P23" i="11"/>
  <c r="P24" i="11"/>
  <c r="P25" i="11"/>
  <c r="N107" i="11"/>
  <c r="N113" i="11" s="1"/>
  <c r="N97" i="11"/>
  <c r="N111" i="11"/>
  <c r="N110" i="11" s="1"/>
  <c r="N106" i="11" s="1"/>
  <c r="P112" i="11"/>
  <c r="T111" i="11"/>
  <c r="T110" i="11" s="1"/>
  <c r="T106" i="11" s="1"/>
  <c r="T114" i="11" s="1"/>
  <c r="S111" i="11"/>
  <c r="S110" i="11" s="1"/>
  <c r="S106" i="11" s="1"/>
  <c r="S114" i="11" s="1"/>
  <c r="Q111" i="11"/>
  <c r="R111" i="11" s="1"/>
  <c r="O111" i="11"/>
  <c r="O110" i="11" s="1"/>
  <c r="O106" i="11" s="1"/>
  <c r="O114" i="11" s="1"/>
  <c r="O117" i="11" s="1"/>
  <c r="M111" i="11"/>
  <c r="M110" i="11" s="1"/>
  <c r="T97" i="11"/>
  <c r="T96" i="11" s="1"/>
  <c r="T95" i="11" s="1"/>
  <c r="S97" i="11"/>
  <c r="S96" i="11" s="1"/>
  <c r="S95" i="11" s="1"/>
  <c r="R88" i="11" l="1"/>
  <c r="Q96" i="11"/>
  <c r="R97" i="11"/>
  <c r="Q113" i="11"/>
  <c r="R107" i="11"/>
  <c r="M118" i="11"/>
  <c r="P122" i="11"/>
  <c r="P155" i="11"/>
  <c r="P154" i="11" s="1"/>
  <c r="P107" i="11"/>
  <c r="O102" i="11"/>
  <c r="O103" i="11" s="1"/>
  <c r="P178" i="11"/>
  <c r="M95" i="11"/>
  <c r="L120" i="11"/>
  <c r="L180" i="11" s="1"/>
  <c r="M105" i="11"/>
  <c r="T102" i="11"/>
  <c r="T103" i="11" s="1"/>
  <c r="S102" i="11"/>
  <c r="S103" i="11" s="1"/>
  <c r="P92" i="11"/>
  <c r="P18" i="11"/>
  <c r="P4" i="11"/>
  <c r="T87" i="11"/>
  <c r="T90" i="11" s="1"/>
  <c r="O113" i="11"/>
  <c r="O115" i="11" s="1"/>
  <c r="P87" i="11"/>
  <c r="Q89" i="11"/>
  <c r="P89" i="11"/>
  <c r="P119" i="11" s="1"/>
  <c r="N179" i="11"/>
  <c r="O3" i="11"/>
  <c r="O33" i="11" s="1"/>
  <c r="O34" i="11" s="1"/>
  <c r="N114" i="11"/>
  <c r="N117" i="11" s="1"/>
  <c r="P96" i="11"/>
  <c r="P95" i="11" s="1"/>
  <c r="N3" i="11"/>
  <c r="N33" i="11" s="1"/>
  <c r="N34" i="11" s="1"/>
  <c r="N105" i="11"/>
  <c r="T113" i="11"/>
  <c r="S105" i="11"/>
  <c r="Q105" i="11"/>
  <c r="O90" i="11"/>
  <c r="T33" i="11"/>
  <c r="S3" i="11"/>
  <c r="S33" i="11" s="1"/>
  <c r="S34" i="11" s="1"/>
  <c r="Q3" i="11"/>
  <c r="M33" i="11"/>
  <c r="M34" i="11" s="1"/>
  <c r="T118" i="11"/>
  <c r="S118" i="11"/>
  <c r="N103" i="11"/>
  <c r="S115" i="11"/>
  <c r="S117" i="11"/>
  <c r="M106" i="11"/>
  <c r="M114" i="11" s="1"/>
  <c r="M117" i="11" s="1"/>
  <c r="P110" i="11"/>
  <c r="P106" i="11" s="1"/>
  <c r="P114" i="11" s="1"/>
  <c r="P117" i="11" s="1"/>
  <c r="T117" i="11"/>
  <c r="Q118" i="11"/>
  <c r="P111" i="11"/>
  <c r="Q110" i="11"/>
  <c r="R110" i="11" s="1"/>
  <c r="P102" i="11" l="1"/>
  <c r="P103" i="11" s="1"/>
  <c r="R118" i="11"/>
  <c r="R3" i="11"/>
  <c r="R105" i="11"/>
  <c r="Q119" i="11"/>
  <c r="R119" i="11" s="1"/>
  <c r="R89" i="11"/>
  <c r="Q95" i="11"/>
  <c r="R96" i="11"/>
  <c r="P177" i="11"/>
  <c r="P179" i="11" s="1"/>
  <c r="P3" i="11"/>
  <c r="P33" i="11" s="1"/>
  <c r="P34" i="11" s="1"/>
  <c r="P105" i="11"/>
  <c r="P113" i="11"/>
  <c r="M102" i="11"/>
  <c r="S90" i="11"/>
  <c r="S116" i="11"/>
  <c r="T34" i="11"/>
  <c r="T116" i="11"/>
  <c r="T120" i="11" s="1"/>
  <c r="J116" i="11"/>
  <c r="J120" i="11" s="1"/>
  <c r="J180" i="11" s="1"/>
  <c r="M113" i="11"/>
  <c r="R113" i="11" s="1"/>
  <c r="T179" i="11"/>
  <c r="Q90" i="11"/>
  <c r="R90" i="11" s="1"/>
  <c r="P88" i="11"/>
  <c r="P118" i="11" s="1"/>
  <c r="N115" i="11"/>
  <c r="T115" i="11"/>
  <c r="Q33" i="11"/>
  <c r="R33" i="11" s="1"/>
  <c r="O116" i="11"/>
  <c r="O120" i="11" s="1"/>
  <c r="O180" i="11" s="1"/>
  <c r="Q106" i="11"/>
  <c r="R106" i="11" s="1"/>
  <c r="N116" i="11"/>
  <c r="N120" i="11" s="1"/>
  <c r="N180" i="11" s="1"/>
  <c r="R95" i="11" l="1"/>
  <c r="Q102" i="11"/>
  <c r="Q116" i="11" s="1"/>
  <c r="S120" i="11"/>
  <c r="S180" i="11" s="1"/>
  <c r="M103" i="11"/>
  <c r="P116" i="11"/>
  <c r="P120" i="11" s="1"/>
  <c r="P180" i="11" s="1"/>
  <c r="P184" i="11" s="1"/>
  <c r="M115" i="11"/>
  <c r="T180" i="11"/>
  <c r="Q34" i="11"/>
  <c r="R34" i="11" s="1"/>
  <c r="M116" i="11"/>
  <c r="P90" i="11"/>
  <c r="Q114" i="11"/>
  <c r="R114" i="11" s="1"/>
  <c r="P115" i="11"/>
  <c r="R116" i="11" l="1"/>
  <c r="R102" i="11"/>
  <c r="Q103" i="11"/>
  <c r="R103" i="11" s="1"/>
  <c r="M120" i="11"/>
  <c r="Q117" i="11"/>
  <c r="R117" i="11" s="1"/>
  <c r="Q115" i="11"/>
  <c r="R115" i="11" s="1"/>
  <c r="Q120" i="11" l="1"/>
  <c r="Q180" i="11" l="1"/>
  <c r="R120" i="11"/>
  <c r="M154" i="11"/>
  <c r="R154" i="11" s="1"/>
  <c r="M177" i="11" l="1"/>
  <c r="M179" i="11" l="1"/>
  <c r="R177" i="11"/>
  <c r="M180" i="11" l="1"/>
  <c r="M181" i="11" s="1"/>
  <c r="R179" i="11"/>
  <c r="K119" i="11"/>
  <c r="K120" i="11" s="1"/>
  <c r="R180" i="11" l="1"/>
  <c r="K180" i="11"/>
</calcChain>
</file>

<file path=xl/sharedStrings.xml><?xml version="1.0" encoding="utf-8"?>
<sst xmlns="http://schemas.openxmlformats.org/spreadsheetml/2006/main" count="1218" uniqueCount="237">
  <si>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</si>
  <si>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</si>
  <si>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</si>
  <si>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</si>
  <si>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</si>
  <si>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</si>
  <si>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</si>
  <si>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</si>
  <si>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</si>
  <si>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</si>
  <si>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</si>
  <si>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</si>
  <si>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</si>
  <si>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</si>
  <si>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</si>
  <si>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</si>
  <si>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</si>
  <si>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</si>
  <si>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</si>
  <si>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</si>
  <si>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</si>
  <si>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</si>
  <si>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</si>
  <si>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</si>
  <si>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</si>
  <si>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</si>
  <si>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</si>
  <si>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</si>
  <si>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</si>
  <si>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</si>
  <si>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</si>
  <si>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</si>
  <si>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</si>
  <si>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</si>
  <si>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</si>
  <si>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</si>
  <si>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</si>
  <si>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</si>
  <si>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</si>
  <si>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</si>
  <si>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</si>
  <si>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</si>
  <si>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</si>
  <si>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</si>
  <si>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</si>
  <si>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</si>
  <si>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</si>
  <si>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</si>
  <si>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</si>
  <si>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</si>
  <si>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</si>
  <si>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</si>
  <si>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</si>
  <si>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</si>
  <si>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</si>
  <si>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</si>
  <si>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</si>
  <si>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</si>
  <si>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</si>
  <si>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</si>
  <si>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</si>
  <si>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</si>
  <si>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</si>
  <si>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</si>
  <si>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</si>
  <si>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</si>
  <si>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</si>
  <si>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</si>
  <si>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</si>
  <si>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</si>
  <si>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</si>
  <si>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</si>
  <si>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</si>
  <si>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</si>
  <si>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</si>
  <si>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</si>
  <si>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</si>
  <si>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</si>
  <si>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</si>
  <si>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</si>
  <si>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</si>
  <si>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</si>
  <si>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</si>
  <si>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</si>
  <si>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</si>
  <si>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</si>
  <si>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</si>
  <si>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</si>
  <si>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</si>
  <si>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</si>
  <si>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</si>
  <si>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</si>
  <si>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</si>
  <si>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</si>
  <si>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</si>
  <si>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</si>
  <si>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</si>
  <si>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</si>
  <si>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</si>
  <si>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</si>
  <si>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</si>
  <si>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</si>
  <si>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</si>
  <si>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</si>
  <si>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</si>
  <si>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</si>
  <si>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</si>
  <si>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</si>
  <si>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</si>
  <si>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</si>
  <si>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</si>
  <si>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</si>
  <si>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</si>
  <si>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</si>
  <si>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</si>
  <si>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</si>
  <si>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</si>
  <si>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</si>
  <si>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</si>
  <si>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</si>
  <si>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</si>
  <si>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</si>
  <si>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</si>
  <si>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</si>
  <si>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</si>
  <si>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</si>
  <si>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</si>
  <si>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</si>
  <si>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</si>
  <si>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</si>
  <si>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</si>
  <si>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</si>
  <si>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</si>
  <si>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</si>
  <si>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</si>
  <si>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</si>
  <si>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</si>
  <si>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</si>
  <si>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</si>
  <si>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</si>
  <si>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</si>
  <si>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</si>
  <si>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</si>
  <si>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</si>
  <si>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</si>
  <si>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</si>
  <si>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</si>
  <si>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</si>
  <si>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</si>
  <si>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</si>
  <si>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</si>
  <si>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</si>
  <si>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</si>
  <si>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</si>
  <si>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</si>
  <si>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</si>
  <si>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</si>
  <si>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</si>
  <si>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</si>
  <si>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</si>
  <si>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</si>
  <si>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</si>
  <si>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</si>
  <si>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</si>
  <si>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</si>
  <si>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</si>
  <si>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</si>
  <si>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</si>
  <si>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</si>
  <si>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</si>
  <si>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</si>
  <si>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</si>
  <si>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</si>
  <si>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</si>
  <si>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</si>
  <si>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</si>
  <si>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</si>
  <si>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</si>
  <si>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</si>
  <si>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</si>
  <si>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</si>
  <si>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</si>
  <si>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</si>
  <si>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</si>
  <si>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</si>
  <si>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</si>
  <si>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</si>
  <si>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</si>
  <si>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</si>
  <si>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</si>
  <si>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</si>
  <si>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</si>
  <si>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</si>
  <si>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</si>
  <si>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</si>
  <si>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</si>
  <si>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</si>
  <si>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</si>
  <si>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</si>
  <si>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</si>
  <si>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</si>
  <si>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</si>
  <si>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</si>
  <si>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</si>
  <si>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</si>
  <si>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</si>
  <si>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</si>
  <si>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</si>
  <si>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</si>
  <si>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</si>
  <si>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</si>
  <si>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</si>
  <si>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</si>
  <si>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</si>
  <si>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</si>
  <si>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</si>
  <si>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</si>
  <si>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</si>
  <si>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</si>
  <si>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</si>
  <si>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</si>
  <si>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</si>
  <si>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</si>
  <si>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</si>
  <si>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</si>
  <si>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</si>
  <si>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</si>
  <si>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</si>
  <si>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</si>
  <si>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</si>
  <si>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</si>
  <si>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</si>
  <si>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</si>
  <si>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</si>
  <si>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</si>
  <si>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</si>
  <si>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>Fecha: septiembre 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</si>
</sst>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164" fontId="24" fillId="4" borderId="0" xfId="1" applyFont="1" applyFill="1" applyBorder="1"/>
    <xf numFmtId="164" fontId="5" fillId="4" borderId="0" xfId="1" applyFont="1" applyFill="1" applyBorder="1"/>
    <xf numFmtId="43" fontId="7" fillId="0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CRETO%2031%20DE%20AGOSTO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8">
          <cell r="V8">
            <v>43757450047.199997</v>
          </cell>
          <cell r="X8">
            <v>37083094467.199997</v>
          </cell>
        </row>
        <row r="33">
          <cell r="W33">
            <v>155821504806.72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9"/>
  <sheetViews>
    <sheetView showGridLines="0" tabSelected="1" topLeftCell="A170" zoomScale="140" zoomScaleNormal="140" workbookViewId="0">
      <selection activeCell="N90" sqref="N90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6" t="s">
        <v>216</v>
      </c>
      <c r="B1" s="127"/>
      <c r="C1" s="127"/>
      <c r="D1" s="127"/>
      <c r="E1" s="127"/>
      <c r="F1" s="128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3" t="s">
        <v>87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5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500000000</v>
      </c>
      <c r="L3" s="103">
        <f t="shared" si="0"/>
        <v>500000000</v>
      </c>
      <c r="M3" s="103">
        <f>M4+M18+M26</f>
        <v>306184300000</v>
      </c>
      <c r="N3" s="37">
        <f>N4+N18+N26</f>
        <v>0</v>
      </c>
      <c r="O3" s="37">
        <f>O4+O18+O26</f>
        <v>188114019961</v>
      </c>
      <c r="P3" s="103">
        <f>P4+P18+P26</f>
        <v>118070280039</v>
      </c>
      <c r="Q3" s="37">
        <f>Q4+Q18+Q26</f>
        <v>188114019961</v>
      </c>
      <c r="R3" s="38">
        <f>IF(Q3&gt;1,Q3/(M3),0)</f>
        <v>0.61438166477183842</v>
      </c>
      <c r="S3" s="37">
        <f>S4+S18+S26</f>
        <v>185175808438</v>
      </c>
      <c r="T3" s="39">
        <f>T4+T18+T26</f>
        <v>185169923538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500000000</v>
      </c>
      <c r="L4" s="24">
        <f t="shared" si="1"/>
        <v>500000000</v>
      </c>
      <c r="M4" s="24">
        <f>SUM(M5:M17)</f>
        <v>205807200000</v>
      </c>
      <c r="N4" s="24">
        <f>SUM(N5:N17)</f>
        <v>0</v>
      </c>
      <c r="O4" s="24">
        <f>SUM(O5:O17)</f>
        <v>126731080767</v>
      </c>
      <c r="P4" s="24">
        <f>SUM(P5:P17)</f>
        <v>79076119233</v>
      </c>
      <c r="Q4" s="24">
        <f>SUM(Q5:Q17)</f>
        <v>126731080767</v>
      </c>
      <c r="R4" s="96">
        <f t="shared" ref="R4:R34" si="2">IF(Q4&gt;1,Q4/(M4),0)</f>
        <v>0.6157757394639255</v>
      </c>
      <c r="S4" s="14">
        <f>SUM(S5:S17)</f>
        <v>126729949386</v>
      </c>
      <c r="T4" s="33">
        <f>SUM(T5:T17)</f>
        <v>126729949386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99670881707</v>
      </c>
      <c r="P5" s="27">
        <f t="shared" ref="P5:P17" si="3">+M5-O5-N5</f>
        <v>49064325165</v>
      </c>
      <c r="Q5" s="9">
        <v>99670881707</v>
      </c>
      <c r="R5" s="25">
        <f t="shared" si="2"/>
        <v>0.67012299107349704</v>
      </c>
      <c r="S5" s="9">
        <v>99669750326</v>
      </c>
      <c r="T5" s="10">
        <v>99669750326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1886619100</v>
      </c>
      <c r="P6" s="27">
        <f t="shared" si="3"/>
        <v>1110695419</v>
      </c>
      <c r="Q6" s="9">
        <v>1886619100</v>
      </c>
      <c r="R6" s="25">
        <f t="shared" si="2"/>
        <v>0.62943647990249496</v>
      </c>
      <c r="S6" s="9">
        <v>1886619100</v>
      </c>
      <c r="T6" s="10">
        <v>1886619100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990465746</v>
      </c>
      <c r="P7" s="27">
        <f t="shared" si="3"/>
        <v>503789364</v>
      </c>
      <c r="Q7" s="9">
        <v>990465746</v>
      </c>
      <c r="R7" s="25">
        <f t="shared" si="2"/>
        <v>0.66284916101106728</v>
      </c>
      <c r="S7" s="9">
        <v>990465746</v>
      </c>
      <c r="T7" s="10">
        <v>990465746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188782187</v>
      </c>
      <c r="P8" s="27">
        <f t="shared" si="3"/>
        <v>109981633</v>
      </c>
      <c r="Q8" s="9">
        <v>188782187</v>
      </c>
      <c r="R8" s="25">
        <f t="shared" si="2"/>
        <v>0.63187767180109022</v>
      </c>
      <c r="S8" s="9">
        <v>188782187</v>
      </c>
      <c r="T8" s="10">
        <v>188782187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378073324</v>
      </c>
      <c r="P9" s="27">
        <f t="shared" si="3"/>
        <v>105788816</v>
      </c>
      <c r="Q9" s="9">
        <v>378073324</v>
      </c>
      <c r="R9" s="25">
        <f t="shared" si="2"/>
        <v>0.78136579150416685</v>
      </c>
      <c r="S9" s="9">
        <v>378073324</v>
      </c>
      <c r="T9" s="10">
        <v>378073324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/>
      <c r="M10" s="27">
        <f t="shared" si="4"/>
        <v>7468238074</v>
      </c>
      <c r="N10" s="9">
        <v>0</v>
      </c>
      <c r="O10" s="9">
        <v>7219978566</v>
      </c>
      <c r="P10" s="27">
        <f t="shared" si="3"/>
        <v>248259508</v>
      </c>
      <c r="Q10" s="9">
        <v>7219978566</v>
      </c>
      <c r="R10" s="25">
        <f t="shared" si="2"/>
        <v>0.96675795474915382</v>
      </c>
      <c r="S10" s="9">
        <v>7219978566</v>
      </c>
      <c r="T10" s="10">
        <v>7219978566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3748344486</v>
      </c>
      <c r="P11" s="27">
        <f t="shared" si="3"/>
        <v>1159105561</v>
      </c>
      <c r="Q11" s="9">
        <v>3748344486</v>
      </c>
      <c r="R11" s="25">
        <f t="shared" si="2"/>
        <v>0.763806956790405</v>
      </c>
      <c r="S11" s="9">
        <v>3748344486</v>
      </c>
      <c r="T11" s="10">
        <v>3748344486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834120783</v>
      </c>
      <c r="P12" s="27">
        <f t="shared" si="3"/>
        <v>390706820</v>
      </c>
      <c r="Q12" s="9">
        <v>834120783</v>
      </c>
      <c r="R12" s="25">
        <f t="shared" si="2"/>
        <v>0.68101076507172742</v>
      </c>
      <c r="S12" s="9">
        <v>834120783</v>
      </c>
      <c r="T12" s="10">
        <v>834120783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>
        <v>500000000</v>
      </c>
      <c r="M13" s="27">
        <f t="shared" si="4"/>
        <v>16235066390</v>
      </c>
      <c r="N13" s="9">
        <v>0</v>
      </c>
      <c r="O13" s="9">
        <v>202641510</v>
      </c>
      <c r="P13" s="27">
        <f t="shared" si="3"/>
        <v>16032424880</v>
      </c>
      <c r="Q13" s="9">
        <v>202641510</v>
      </c>
      <c r="R13" s="25">
        <f t="shared" si="2"/>
        <v>1.2481717359949768E-2</v>
      </c>
      <c r="S13" s="9">
        <v>202641510</v>
      </c>
      <c r="T13" s="10">
        <v>202641510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4477828045</v>
      </c>
      <c r="P14" s="27">
        <f t="shared" si="3"/>
        <v>3491841449</v>
      </c>
      <c r="Q14" s="9">
        <v>4477828045</v>
      </c>
      <c r="R14" s="25">
        <f t="shared" si="2"/>
        <v>0.56185868791311255</v>
      </c>
      <c r="S14" s="9">
        <v>4477828045</v>
      </c>
      <c r="T14" s="51">
        <v>4477828045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25252149</v>
      </c>
      <c r="P15" s="27">
        <f t="shared" si="3"/>
        <v>14703425</v>
      </c>
      <c r="Q15" s="9">
        <v>25252149</v>
      </c>
      <c r="R15" s="25">
        <f t="shared" si="2"/>
        <v>0.63200566208859865</v>
      </c>
      <c r="S15" s="9">
        <v>25252149</v>
      </c>
      <c r="T15" s="51">
        <v>25252149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11587447</v>
      </c>
      <c r="P16" s="27">
        <f t="shared" si="3"/>
        <v>7581102</v>
      </c>
      <c r="Q16" s="9">
        <v>11587447</v>
      </c>
      <c r="R16" s="25">
        <f t="shared" si="2"/>
        <v>0.60450308471444547</v>
      </c>
      <c r="S16" s="9">
        <v>11587447</v>
      </c>
      <c r="T16" s="51">
        <v>11587447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7096505717</v>
      </c>
      <c r="P17" s="27">
        <f t="shared" si="3"/>
        <v>6836916091</v>
      </c>
      <c r="Q17" s="9">
        <v>7096505717</v>
      </c>
      <c r="R17" s="25">
        <f t="shared" si="2"/>
        <v>0.50931535804977046</v>
      </c>
      <c r="S17" s="27">
        <v>7096505717</v>
      </c>
      <c r="T17" s="51">
        <v>7096505717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52141460819</v>
      </c>
      <c r="P18" s="24">
        <f>SUM(P19:P25)</f>
        <v>32691639181</v>
      </c>
      <c r="Q18" s="14">
        <f>SUM(Q19:Q25)</f>
        <v>52141460819</v>
      </c>
      <c r="R18" s="26">
        <f t="shared" si="2"/>
        <v>0.61463580629494852</v>
      </c>
      <c r="S18" s="14">
        <f>SUM(S19:S25)</f>
        <v>49204380677</v>
      </c>
      <c r="T18" s="22">
        <f>SUM(T19:T25)</f>
        <v>49198495777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15026368400</v>
      </c>
      <c r="P19" s="27">
        <f t="shared" ref="P19:P32" si="6">+M19-O19-N19</f>
        <v>7563431845</v>
      </c>
      <c r="Q19" s="9">
        <v>15026368400</v>
      </c>
      <c r="R19" s="25">
        <f t="shared" si="2"/>
        <v>0.66518376599305784</v>
      </c>
      <c r="S19" s="9">
        <v>15026368400</v>
      </c>
      <c r="T19" s="51">
        <v>15025172800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10570273500</v>
      </c>
      <c r="P20" s="27">
        <f t="shared" si="6"/>
        <v>5274956016</v>
      </c>
      <c r="Q20" s="9">
        <v>10570273500</v>
      </c>
      <c r="R20" s="25">
        <f t="shared" si="2"/>
        <v>0.66709500732232874</v>
      </c>
      <c r="S20" s="9">
        <v>10570273500</v>
      </c>
      <c r="T20" s="51">
        <v>10569425400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5671177277</v>
      </c>
      <c r="P21" s="27">
        <f t="shared" si="6"/>
        <v>13864900970</v>
      </c>
      <c r="Q21" s="9">
        <v>5671177277</v>
      </c>
      <c r="R21" s="25">
        <f t="shared" si="2"/>
        <v>0.29029251445954246</v>
      </c>
      <c r="S21" s="9">
        <v>5671177277</v>
      </c>
      <c r="T21" s="51">
        <v>5671177277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5467428100</v>
      </c>
      <c r="P22" s="27">
        <f t="shared" si="6"/>
        <v>2688102902</v>
      </c>
      <c r="Q22" s="9">
        <v>5467428100</v>
      </c>
      <c r="R22" s="25">
        <f t="shared" si="2"/>
        <v>0.67039510960833937</v>
      </c>
      <c r="S22" s="9">
        <v>5467428100</v>
      </c>
      <c r="T22" s="51">
        <v>5465827600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2"/>
        <v>1</v>
      </c>
      <c r="S23" s="9">
        <v>5634159500</v>
      </c>
      <c r="T23" s="51">
        <v>5633919600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4100742500</v>
      </c>
      <c r="P24" s="27">
        <f t="shared" si="6"/>
        <v>2005799134</v>
      </c>
      <c r="Q24" s="9">
        <v>4100742500</v>
      </c>
      <c r="R24" s="25">
        <f t="shared" si="2"/>
        <v>0.67153271782638602</v>
      </c>
      <c r="S24" s="9">
        <v>4100742500</v>
      </c>
      <c r="T24" s="51">
        <v>4099542000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2734231400</v>
      </c>
      <c r="P25" s="27">
        <f t="shared" si="6"/>
        <v>1294448314</v>
      </c>
      <c r="Q25" s="9">
        <v>2734231400</v>
      </c>
      <c r="R25" s="25">
        <f t="shared" si="2"/>
        <v>0.67869167918668649</v>
      </c>
      <c r="S25" s="9">
        <v>2734231400</v>
      </c>
      <c r="T25" s="51">
        <v>2733431100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9241478375</v>
      </c>
      <c r="P26" s="24">
        <f>P27+P28+P29+P30+P31+P32</f>
        <v>6302521625</v>
      </c>
      <c r="Q26" s="14">
        <f>Q27+Q28+Q29+Q30+Q31+Q32</f>
        <v>9241478375</v>
      </c>
      <c r="R26" s="26">
        <f t="shared" si="2"/>
        <v>0.59453669422285127</v>
      </c>
      <c r="S26" s="24">
        <f>S27+S28+S29+S30+S31+S32</f>
        <v>9241478375</v>
      </c>
      <c r="T26" s="22">
        <f>T27+T28+T29+T30+T31+T32</f>
        <v>9241478375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7057206120</v>
      </c>
      <c r="P27" s="27">
        <f t="shared" si="6"/>
        <v>5051843685</v>
      </c>
      <c r="Q27" s="9">
        <v>7057206120</v>
      </c>
      <c r="R27" s="25">
        <f t="shared" si="2"/>
        <v>0.58280428552585339</v>
      </c>
      <c r="S27" s="9">
        <v>7057206120</v>
      </c>
      <c r="T27" s="51">
        <v>7057206120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9">J28+K28-L28</f>
        <v>458862190</v>
      </c>
      <c r="N28" s="9">
        <v>0</v>
      </c>
      <c r="O28" s="9">
        <v>391411399</v>
      </c>
      <c r="P28" s="27">
        <f t="shared" si="6"/>
        <v>67450791</v>
      </c>
      <c r="Q28" s="9">
        <v>391411399</v>
      </c>
      <c r="R28" s="25">
        <f t="shared" si="2"/>
        <v>0.85300425166867644</v>
      </c>
      <c r="S28" s="9">
        <v>391411399</v>
      </c>
      <c r="T28" s="51">
        <v>391411399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511011896</v>
      </c>
      <c r="P29" s="27">
        <f t="shared" si="6"/>
        <v>308306320</v>
      </c>
      <c r="Q29" s="9">
        <v>511011896</v>
      </c>
      <c r="R29" s="25">
        <f t="shared" si="2"/>
        <v>0.62370381375726669</v>
      </c>
      <c r="S29" s="9">
        <v>511011896</v>
      </c>
      <c r="T29" s="51">
        <v>511011896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285833331</v>
      </c>
      <c r="P30" s="27">
        <f t="shared" si="6"/>
        <v>278870721</v>
      </c>
      <c r="Q30" s="9">
        <v>285833331</v>
      </c>
      <c r="R30" s="25">
        <f t="shared" si="2"/>
        <v>0.50616483091925824</v>
      </c>
      <c r="S30" s="9">
        <v>285833331</v>
      </c>
      <c r="T30" s="51">
        <v>285833331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948599842</v>
      </c>
      <c r="P31" s="27">
        <f t="shared" si="6"/>
        <v>548229618</v>
      </c>
      <c r="Q31" s="9">
        <v>948599842</v>
      </c>
      <c r="R31" s="25">
        <f t="shared" si="2"/>
        <v>0.63373942546534323</v>
      </c>
      <c r="S31" s="9">
        <v>948599842</v>
      </c>
      <c r="T31" s="51">
        <v>948599842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47415787</v>
      </c>
      <c r="P32" s="27">
        <f t="shared" si="6"/>
        <v>47820490</v>
      </c>
      <c r="Q32" s="9">
        <v>47415787</v>
      </c>
      <c r="R32" s="25">
        <f t="shared" si="2"/>
        <v>0.4978752686856921</v>
      </c>
      <c r="S32" s="9">
        <v>47415787</v>
      </c>
      <c r="T32" s="51">
        <v>47415787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500000000</v>
      </c>
      <c r="L33" s="64">
        <f t="shared" si="10"/>
        <v>500000000</v>
      </c>
      <c r="M33" s="64">
        <f>M3</f>
        <v>306184300000</v>
      </c>
      <c r="N33" s="64">
        <f>N3</f>
        <v>0</v>
      </c>
      <c r="O33" s="64">
        <f>O3</f>
        <v>188114019961</v>
      </c>
      <c r="P33" s="64">
        <f>P3</f>
        <v>118070280039</v>
      </c>
      <c r="Q33" s="64">
        <f>Q3</f>
        <v>188114019961</v>
      </c>
      <c r="R33" s="76">
        <f t="shared" si="2"/>
        <v>0.61438166477183842</v>
      </c>
      <c r="S33" s="64">
        <f>S3</f>
        <v>185175808438</v>
      </c>
      <c r="T33" s="73">
        <f>T3</f>
        <v>185169923538</v>
      </c>
      <c r="U33" s="105"/>
    </row>
    <row r="34" spans="1:21" ht="15" customHeight="1" thickBot="1" x14ac:dyDescent="0.3">
      <c r="A34" s="135" t="s">
        <v>25</v>
      </c>
      <c r="B34" s="136"/>
      <c r="C34" s="136"/>
      <c r="D34" s="136"/>
      <c r="E34" s="136"/>
      <c r="F34" s="136"/>
      <c r="G34" s="136"/>
      <c r="H34" s="136"/>
      <c r="I34" s="137"/>
      <c r="J34" s="77">
        <f>J33</f>
        <v>306184300000</v>
      </c>
      <c r="K34" s="77">
        <f t="shared" ref="K34:L34" si="11">K33</f>
        <v>500000000</v>
      </c>
      <c r="L34" s="77">
        <f t="shared" si="11"/>
        <v>500000000</v>
      </c>
      <c r="M34" s="77">
        <f t="shared" ref="M34:T34" si="12">M33</f>
        <v>306184300000</v>
      </c>
      <c r="N34" s="77">
        <f t="shared" si="12"/>
        <v>0</v>
      </c>
      <c r="O34" s="77">
        <f t="shared" si="12"/>
        <v>188114019961</v>
      </c>
      <c r="P34" s="77">
        <f t="shared" si="12"/>
        <v>118070280039</v>
      </c>
      <c r="Q34" s="77">
        <f t="shared" si="12"/>
        <v>188114019961</v>
      </c>
      <c r="R34" s="76">
        <f t="shared" si="2"/>
        <v>0.61438166477183842</v>
      </c>
      <c r="S34" s="77">
        <f t="shared" si="12"/>
        <v>185175808438</v>
      </c>
      <c r="T34" s="78">
        <f t="shared" si="12"/>
        <v>185169923538</v>
      </c>
    </row>
    <row r="35" spans="1:21" ht="15.75" customHeight="1" thickBot="1" x14ac:dyDescent="0.3">
      <c r="A35" s="129" t="s">
        <v>102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1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>K37+K38+K39+K40+K41+K42+K43+K44</f>
        <v>1426664264</v>
      </c>
      <c r="L36" s="48">
        <f>L37+L38+L39+L40+L41+L42+L43+L44</f>
        <v>92089125</v>
      </c>
      <c r="M36" s="48">
        <f>M37+M38+M39+M40+M41+M42+M43+M44</f>
        <v>1563778812</v>
      </c>
      <c r="N36" s="48">
        <f t="shared" ref="N36:P36" si="13">N37+N38+N39+N40+N41+N42+N43+N44</f>
        <v>0</v>
      </c>
      <c r="O36" s="48">
        <f>O37+O38+O39+O40+O41+O42+O43+O44</f>
        <v>1219257219</v>
      </c>
      <c r="P36" s="48">
        <f t="shared" si="13"/>
        <v>344521593</v>
      </c>
      <c r="Q36" s="48">
        <f>Q37+Q38+Q39+Q40+Q41+Q42+Q43+Q44</f>
        <v>587867041</v>
      </c>
      <c r="R36" s="62">
        <f t="shared" ref="R36:R90" si="14">IF(Q36&gt;1,Q36/(M36),0)</f>
        <v>0.37592723247614895</v>
      </c>
      <c r="S36" s="48">
        <f t="shared" ref="S36:T36" si="15">S37+S38+S39+S40+S41+S42+S43+S44</f>
        <v>134949631</v>
      </c>
      <c r="T36" s="48">
        <f t="shared" si="15"/>
        <v>133466130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102410000+4000000+1339328+60000000+7357233+64018336</f>
        <v>239124897</v>
      </c>
      <c r="L37" s="44">
        <v>6000000</v>
      </c>
      <c r="M37" s="44">
        <f>J37+K37-L37</f>
        <v>243469330</v>
      </c>
      <c r="N37" s="44"/>
      <c r="O37" s="44">
        <v>156410000</v>
      </c>
      <c r="P37" s="27">
        <f t="shared" ref="P37:P43" si="16">+M37-O37-N37</f>
        <v>87059330</v>
      </c>
      <c r="Q37" s="27">
        <v>102410000</v>
      </c>
      <c r="R37" s="69">
        <f t="shared" si="14"/>
        <v>0.42062792878265198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800000+1769586+11923800+20921616+91313840</f>
        <v>126728842</v>
      </c>
      <c r="L38" s="44">
        <f>74586+30000+2740117+462041</f>
        <v>3306744</v>
      </c>
      <c r="M38" s="44">
        <f t="shared" ref="M38:M44" si="17">J38+K38-L38</f>
        <v>181022098</v>
      </c>
      <c r="N38" s="44"/>
      <c r="O38" s="44">
        <v>35323759</v>
      </c>
      <c r="P38" s="27">
        <f t="shared" si="16"/>
        <v>145698339</v>
      </c>
      <c r="Q38" s="27">
        <v>35323759</v>
      </c>
      <c r="R38" s="69">
        <f t="shared" si="14"/>
        <v>0.19513506577522927</v>
      </c>
      <c r="S38" s="44">
        <v>16756759</v>
      </c>
      <c r="T38" s="70">
        <v>16756759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300000+154623+25977371+11699933+11561067+4498387+9470151</f>
        <v>63661532</v>
      </c>
      <c r="L39" s="44">
        <f>3178584+800000</f>
        <v>3978584</v>
      </c>
      <c r="M39" s="44">
        <f t="shared" si="17"/>
        <v>84682948</v>
      </c>
      <c r="N39" s="44"/>
      <c r="O39" s="44">
        <v>84374256</v>
      </c>
      <c r="P39" s="27">
        <f t="shared" si="16"/>
        <v>308692</v>
      </c>
      <c r="Q39" s="27">
        <v>4821416</v>
      </c>
      <c r="R39" s="69">
        <f t="shared" si="14"/>
        <v>5.6934909729406208E-2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v>412350191</v>
      </c>
      <c r="L40" s="44"/>
      <c r="M40" s="44">
        <f>J40+K40-L40</f>
        <v>475350191</v>
      </c>
      <c r="N40" s="113">
        <v>0</v>
      </c>
      <c r="O40" s="44">
        <v>412350191</v>
      </c>
      <c r="P40" s="27">
        <f>+M40-O40-N40</f>
        <v>63000000</v>
      </c>
      <c r="Q40" s="27">
        <v>412350191</v>
      </c>
      <c r="R40" s="69">
        <f t="shared" si="14"/>
        <v>0.86746613088033875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4000000+3419180+57762584+16000000+2958968</f>
        <v>84140732</v>
      </c>
      <c r="L41" s="44">
        <f>30000000</f>
        <v>30000000</v>
      </c>
      <c r="M41" s="44">
        <f t="shared" si="17"/>
        <v>89140732</v>
      </c>
      <c r="N41" s="44"/>
      <c r="O41" s="44">
        <v>80721552</v>
      </c>
      <c r="P41" s="27">
        <f>+M41-O41-N41</f>
        <v>8419180</v>
      </c>
      <c r="Q41" s="27">
        <v>20000000</v>
      </c>
      <c r="R41" s="69">
        <f t="shared" si="14"/>
        <v>0.22436432314690888</v>
      </c>
      <c r="S41" s="44">
        <v>3999781</v>
      </c>
      <c r="T41" s="70">
        <v>2516280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f>1339328+1038321</f>
        <v>2377649</v>
      </c>
      <c r="M42" s="44">
        <f t="shared" si="17"/>
        <v>15622351</v>
      </c>
      <c r="N42" s="44"/>
      <c r="O42" s="44">
        <v>6961675</v>
      </c>
      <c r="P42" s="27">
        <f t="shared" si="16"/>
        <v>8660676</v>
      </c>
      <c r="Q42" s="27">
        <v>6961675</v>
      </c>
      <c r="R42" s="69">
        <f t="shared" si="14"/>
        <v>0.44562274909839117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>
        <f>56285000+6146510</f>
        <v>62431510</v>
      </c>
      <c r="L43" s="44">
        <f>12559711+22902460+4189050+4342404+1440289</f>
        <v>45433914</v>
      </c>
      <c r="M43" s="44">
        <f t="shared" si="17"/>
        <v>37256836</v>
      </c>
      <c r="N43" s="44"/>
      <c r="O43" s="44">
        <v>6000000</v>
      </c>
      <c r="P43" s="27">
        <f t="shared" si="16"/>
        <v>31256836</v>
      </c>
      <c r="Q43" s="27">
        <v>6000000</v>
      </c>
      <c r="R43" s="69">
        <f t="shared" si="14"/>
        <v>0.16104427117750955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399920+592314</f>
        <v>992234</v>
      </c>
      <c r="M44" s="44">
        <f t="shared" si="17"/>
        <v>437234326</v>
      </c>
      <c r="N44" s="44"/>
      <c r="O44" s="44">
        <v>437115786</v>
      </c>
      <c r="P44" s="27">
        <f t="shared" ref="P44" si="18">+M44-O44-N44</f>
        <v>118540</v>
      </c>
      <c r="Q44" s="27">
        <v>0</v>
      </c>
      <c r="R44" s="69">
        <f t="shared" si="14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>J48+J49+J50+J51+J52+J53+J54+J55+J56+J57+J58+J59+J60+J61+J62+J65+J66+J67+J68+J69+J70+J71+J72+J75+J76+J77+J78+J79+J80+J81+J82+J83+J84+J86+J63+J64+J85</f>
        <v>49497396327</v>
      </c>
      <c r="K45" s="48">
        <f>K48+K49+K50+K51+K52+K53+K54+K55+K56+K57+K58+K59+K60+K61+K62+K63+K64+K65+K66+K67+K68+K69+K70+K71+K72+K75+K76+K77+K78+K79+K80+K81+K82+K83+K84+K86+40004212</f>
        <v>6995354304.8899994</v>
      </c>
      <c r="L45" s="48">
        <f>L48+L49+L50+L51+L52+L53+L54+L55+L56+L57+L58+L59+L60+L61+L62+L63+L64+L65+L66+L67+L68+L69+L70+L71+L72+L75+L76+L77+L78+L79+L80+L81+L82+L83+L84+L86+40004212</f>
        <v>8369933655.8899994</v>
      </c>
      <c r="M45" s="48">
        <f>M48+M49+M50+M51+M52+M53+M54+M55+M56+M57+M58+M59+M60+M61+M62+M63+M64+M65+M66+M67+M68+M69+M70+M71+M72+M75+M76+M77+M78+M79+M80+M81+M82+M83+M84+M86+40004212</f>
        <v>48162821188</v>
      </c>
      <c r="N45" s="48">
        <f t="shared" ref="N45" si="19">N48+N49+N50+N51+N52+N53+N54+N55+N56+N57+N58+N59+N60+N61+N62+N65+N66+N67+N68+N69+N70+N71+N72+N75+N76+N77+N78+N79+N80+N81+N82+N83+N84+N86+N63+N64</f>
        <v>0</v>
      </c>
      <c r="O45" s="122">
        <f>O48+O49+O50+O51+O52+O53+O54+O55+O56+O57+O58+O59+O60+O61+O62+O63+O64+O65+O66+O67+O68+O69+O70+O71+O72+O75+O76+O77+O78+O79+O80+O81+O82+O83+O84+O86+40004212</f>
        <v>42538192828.199997</v>
      </c>
      <c r="P45" s="48">
        <f>P48+P49+P50+P51+P52+P53+P54+P55+P56+P57+P58+P59+P60+P61+P62+P63+P64+P65+P66+P67+P68+P69+P70+P71+P72+P75+P76+P77+P78+P79+P80+P81+P82+P83+P84+P86</f>
        <v>5624628359.7999992</v>
      </c>
      <c r="Q45" s="48">
        <f>Q48+Q49+Q50+Q51+Q52+Q53+Q54+Q55+Q56+Q57+Q58+Q59+Q60+Q61+Q62+Q63+Q64+Q65+Q66+Q67+Q68+Q69+Q70+Q71+Q72+Q75+Q76+Q77+Q78+Q79+Q80+Q81+Q82+Q83+Q84+Q86</f>
        <v>36495227426.199997</v>
      </c>
      <c r="R45" s="62">
        <f>IF(Q45&gt;1,Q45/(M45),0)</f>
        <v>0.75774687873336122</v>
      </c>
      <c r="S45" s="24">
        <f t="shared" ref="S45:T45" si="20">S48+S49+S50+S51+S52+S53+S54+S55+S56+S57+S58+S59+S60+S61+S62+S63+S64+S65+S66+S67+S68+S69+S70+S71+S72+S75+S76+S77+S78+S79+S80+S81+S82+S83+S84+S86</f>
        <v>25139394050.329998</v>
      </c>
      <c r="T45" s="24">
        <f t="shared" si="20"/>
        <v>24993020985.329998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J73+J85</f>
        <v>950000000</v>
      </c>
      <c r="K46" s="48">
        <f t="shared" ref="K46" si="21">K73+K85</f>
        <v>50000000</v>
      </c>
      <c r="L46" s="48">
        <f>L73+L85+L74</f>
        <v>50000000</v>
      </c>
      <c r="M46" s="48">
        <f>M73+M85</f>
        <v>950000000</v>
      </c>
      <c r="N46" s="48">
        <f t="shared" ref="N46:P46" si="22">N73+N85</f>
        <v>0</v>
      </c>
      <c r="O46" s="48">
        <f t="shared" si="22"/>
        <v>317029211.19</v>
      </c>
      <c r="P46" s="24">
        <f t="shared" si="22"/>
        <v>632970788.80999994</v>
      </c>
      <c r="Q46" s="24">
        <f>Q73+Q85</f>
        <v>310798120.19</v>
      </c>
      <c r="R46" s="62">
        <f t="shared" si="14"/>
        <v>0.32715591598947369</v>
      </c>
      <c r="S46" s="48">
        <f t="shared" ref="S46:T46" si="23">S73+S85</f>
        <v>267777320.19</v>
      </c>
      <c r="T46" s="68">
        <f t="shared" si="23"/>
        <v>266879461.19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J74</f>
        <v>475113000</v>
      </c>
      <c r="K47" s="48">
        <f t="shared" ref="K47:L47" si="24">K74</f>
        <v>0</v>
      </c>
      <c r="L47" s="48">
        <f t="shared" si="24"/>
        <v>0</v>
      </c>
      <c r="M47" s="48">
        <f>M74</f>
        <v>475113000</v>
      </c>
      <c r="N47" s="48">
        <f t="shared" ref="N47" si="25">N74</f>
        <v>0</v>
      </c>
      <c r="O47" s="48">
        <f>O74</f>
        <v>426327620</v>
      </c>
      <c r="P47" s="24">
        <f>P74</f>
        <v>48785380</v>
      </c>
      <c r="Q47" s="24">
        <f>Q74</f>
        <v>426051900</v>
      </c>
      <c r="R47" s="62">
        <f t="shared" si="14"/>
        <v>0.89673803916121009</v>
      </c>
      <c r="S47" s="48">
        <f>S74</f>
        <v>426051900</v>
      </c>
      <c r="T47" s="68">
        <f>T74</f>
        <v>345652275</v>
      </c>
    </row>
    <row r="48" spans="1:21" s="6" customForma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42</v>
      </c>
      <c r="G48" s="23" t="s">
        <v>235</v>
      </c>
      <c r="H48" s="7" t="s">
        <v>5</v>
      </c>
      <c r="I48" s="8">
        <v>10</v>
      </c>
      <c r="J48" s="44">
        <v>0</v>
      </c>
      <c r="K48" s="44">
        <f>50000+100000</f>
        <v>150000</v>
      </c>
      <c r="L48" s="44"/>
      <c r="M48" s="44">
        <f>J48+K48-L48</f>
        <v>150000</v>
      </c>
      <c r="N48" s="44"/>
      <c r="O48" s="44">
        <v>150000</v>
      </c>
      <c r="P48" s="27">
        <f>+M48-O48-N48</f>
        <v>0</v>
      </c>
      <c r="Q48" s="9">
        <v>0</v>
      </c>
      <c r="R48" s="25">
        <f t="shared" ref="R48:R50" si="26">IF(Q48&gt;1,Q48/(M48),0)</f>
        <v>0</v>
      </c>
      <c r="S48" s="9">
        <v>0</v>
      </c>
      <c r="T48" s="10">
        <v>0</v>
      </c>
    </row>
    <row r="49" spans="1:20" s="6" customForma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35</v>
      </c>
      <c r="F49" s="65" t="s">
        <v>43</v>
      </c>
      <c r="G49" s="23" t="s">
        <v>234</v>
      </c>
      <c r="H49" s="7" t="s">
        <v>5</v>
      </c>
      <c r="I49" s="8">
        <v>10</v>
      </c>
      <c r="J49" s="44">
        <v>0</v>
      </c>
      <c r="K49" s="44">
        <v>200000</v>
      </c>
      <c r="L49" s="44">
        <v>100000</v>
      </c>
      <c r="M49" s="44">
        <f>J49+K49-L49</f>
        <v>100000</v>
      </c>
      <c r="N49" s="44">
        <v>0</v>
      </c>
      <c r="O49" s="44">
        <v>100000</v>
      </c>
      <c r="P49" s="27">
        <f t="shared" ref="P49:P50" si="27">+M49-O49-N49</f>
        <v>0</v>
      </c>
      <c r="Q49" s="9">
        <v>0</v>
      </c>
      <c r="R49" s="25">
        <f t="shared" si="26"/>
        <v>0</v>
      </c>
      <c r="S49" s="9">
        <v>0</v>
      </c>
      <c r="T49" s="10">
        <v>0</v>
      </c>
    </row>
    <row r="50" spans="1:20" s="6" customFormat="1" ht="41.25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37</v>
      </c>
      <c r="F50" s="65" t="s">
        <v>39</v>
      </c>
      <c r="G50" s="23" t="s">
        <v>109</v>
      </c>
      <c r="H50" s="7" t="s">
        <v>5</v>
      </c>
      <c r="I50" s="8">
        <v>10</v>
      </c>
      <c r="J50" s="44">
        <v>5000000</v>
      </c>
      <c r="K50" s="44"/>
      <c r="L50" s="44">
        <v>0</v>
      </c>
      <c r="M50" s="44">
        <f>J50+K50-L50</f>
        <v>5000000</v>
      </c>
      <c r="N50" s="44">
        <v>0</v>
      </c>
      <c r="O50" s="44">
        <v>0</v>
      </c>
      <c r="P50" s="27">
        <f t="shared" si="27"/>
        <v>5000000</v>
      </c>
      <c r="Q50" s="9">
        <v>0</v>
      </c>
      <c r="R50" s="25">
        <f t="shared" si="26"/>
        <v>0</v>
      </c>
      <c r="S50" s="9">
        <v>0</v>
      </c>
      <c r="T50" s="10">
        <v>0</v>
      </c>
    </row>
    <row r="51" spans="1:20" s="6" customFormat="1" ht="32.25" customHeight="1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65" t="s">
        <v>44</v>
      </c>
      <c r="G51" s="23" t="s">
        <v>213</v>
      </c>
      <c r="H51" s="7" t="s">
        <v>5</v>
      </c>
      <c r="I51" s="8">
        <v>10</v>
      </c>
      <c r="J51" s="44">
        <v>10689249</v>
      </c>
      <c r="K51" s="44">
        <f>10933850+523000+8690000</f>
        <v>20146850</v>
      </c>
      <c r="L51" s="44">
        <f>300000</f>
        <v>300000</v>
      </c>
      <c r="M51" s="44">
        <f t="shared" ref="M51" si="28">J51+K51-L51</f>
        <v>30536099</v>
      </c>
      <c r="N51" s="44">
        <v>0</v>
      </c>
      <c r="O51" s="44">
        <v>3223000</v>
      </c>
      <c r="P51" s="27">
        <f>+M51-O51-N51</f>
        <v>27313099</v>
      </c>
      <c r="Q51" s="9">
        <v>2700000</v>
      </c>
      <c r="R51" s="25">
        <f t="shared" si="14"/>
        <v>8.8419938643767168E-2</v>
      </c>
      <c r="S51" s="9">
        <v>0</v>
      </c>
      <c r="T51" s="10">
        <v>0</v>
      </c>
    </row>
    <row r="52" spans="1:20" s="6" customFormat="1" ht="16.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7" t="s">
        <v>45</v>
      </c>
      <c r="G52" s="23" t="s">
        <v>110</v>
      </c>
      <c r="H52" s="7" t="s">
        <v>5</v>
      </c>
      <c r="I52" s="8" t="s">
        <v>6</v>
      </c>
      <c r="J52" s="44">
        <v>662899534</v>
      </c>
      <c r="K52" s="44">
        <f>5367603.9+3281650+7000000+46000000+7827290+58467950</f>
        <v>127944493.90000001</v>
      </c>
      <c r="L52" s="44">
        <f>9933700+12473363.13+3586650+1173500+3793966+492290</f>
        <v>31453469.130000003</v>
      </c>
      <c r="M52" s="44">
        <f t="shared" ref="M52:M86" si="29">J52+K52-L52</f>
        <v>759390558.76999998</v>
      </c>
      <c r="N52" s="9">
        <v>0</v>
      </c>
      <c r="O52" s="44">
        <v>518650260.14999998</v>
      </c>
      <c r="P52" s="27">
        <f>+M52-O52-N52</f>
        <v>240740298.62</v>
      </c>
      <c r="Q52" s="9">
        <v>460182310.14999998</v>
      </c>
      <c r="R52" s="25">
        <f t="shared" si="14"/>
        <v>0.60598898002546464</v>
      </c>
      <c r="S52" s="9">
        <v>141356147.19</v>
      </c>
      <c r="T52" s="10">
        <v>132583147.19</v>
      </c>
    </row>
    <row r="53" spans="1:20" s="6" customFormat="1" ht="24.7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35</v>
      </c>
      <c r="G53" s="23" t="s">
        <v>111</v>
      </c>
      <c r="H53" s="7" t="s">
        <v>5</v>
      </c>
      <c r="I53" s="8" t="s">
        <v>6</v>
      </c>
      <c r="J53" s="44">
        <v>10000</v>
      </c>
      <c r="K53" s="44">
        <f>1200000+2000000</f>
        <v>3200000</v>
      </c>
      <c r="L53" s="44">
        <f>500000</f>
        <v>500000</v>
      </c>
      <c r="M53" s="44">
        <f t="shared" si="29"/>
        <v>2710000</v>
      </c>
      <c r="N53" s="9">
        <v>0</v>
      </c>
      <c r="O53" s="44">
        <v>2700000</v>
      </c>
      <c r="P53" s="27">
        <f t="shared" ref="P53:P86" si="30">+M53-O53-N53</f>
        <v>10000</v>
      </c>
      <c r="Q53" s="9">
        <v>1200000</v>
      </c>
      <c r="R53" s="25">
        <f t="shared" si="14"/>
        <v>0.44280442804428044</v>
      </c>
      <c r="S53" s="9">
        <v>0</v>
      </c>
      <c r="T53" s="10">
        <v>0</v>
      </c>
    </row>
    <row r="54" spans="1:20" s="6" customFormat="1" ht="43.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37</v>
      </c>
      <c r="G54" s="23" t="s">
        <v>217</v>
      </c>
      <c r="H54" s="7" t="s">
        <v>5</v>
      </c>
      <c r="I54" s="8">
        <v>10</v>
      </c>
      <c r="J54" s="44">
        <v>126215878</v>
      </c>
      <c r="K54" s="44">
        <f>900000+33000+68000000+1573500+60000000+614734+47992767+9711871+52583268+3793966</f>
        <v>245203106</v>
      </c>
      <c r="L54" s="44">
        <f>11423842+1419723+198802+961500+750</f>
        <v>14004617</v>
      </c>
      <c r="M54" s="44">
        <f>J54+K54-L54</f>
        <v>357414367</v>
      </c>
      <c r="N54" s="27">
        <v>0</v>
      </c>
      <c r="O54" s="44">
        <v>124795011</v>
      </c>
      <c r="P54" s="44">
        <f t="shared" si="30"/>
        <v>232619356</v>
      </c>
      <c r="Q54" s="9">
        <v>64795011</v>
      </c>
      <c r="R54" s="25">
        <f t="shared" si="14"/>
        <v>0.18128821049882418</v>
      </c>
      <c r="S54" s="9">
        <v>63895011</v>
      </c>
      <c r="T54" s="10">
        <v>63895011</v>
      </c>
    </row>
    <row r="55" spans="1:20" s="6" customFormat="1" ht="23.2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39</v>
      </c>
      <c r="G55" s="23" t="s">
        <v>112</v>
      </c>
      <c r="H55" s="7" t="s">
        <v>5</v>
      </c>
      <c r="I55" s="8" t="s">
        <v>6</v>
      </c>
      <c r="J55" s="44">
        <v>353285398</v>
      </c>
      <c r="K55" s="44">
        <f>900000+1500000+4740000+650400+200000+9300000</f>
        <v>17290400</v>
      </c>
      <c r="L55" s="44">
        <f xml:space="preserve"> 983260</f>
        <v>983260</v>
      </c>
      <c r="M55" s="44">
        <f>J55+K55-L55</f>
        <v>369592538</v>
      </c>
      <c r="N55" s="27">
        <v>0</v>
      </c>
      <c r="O55" s="44">
        <v>270508105</v>
      </c>
      <c r="P55" s="27">
        <f t="shared" si="30"/>
        <v>99084433</v>
      </c>
      <c r="Q55" s="9">
        <v>245920279</v>
      </c>
      <c r="R55" s="25">
        <f t="shared" si="14"/>
        <v>0.66538215390052058</v>
      </c>
      <c r="S55" s="9">
        <v>150845367.03</v>
      </c>
      <c r="T55" s="10">
        <v>150705367.03</v>
      </c>
    </row>
    <row r="56" spans="1:20" s="6" customForma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40</v>
      </c>
      <c r="G56" s="23" t="s">
        <v>113</v>
      </c>
      <c r="H56" s="7" t="s">
        <v>5</v>
      </c>
      <c r="I56" s="8" t="s">
        <v>6</v>
      </c>
      <c r="J56" s="44">
        <v>329921413</v>
      </c>
      <c r="K56" s="44">
        <f>9781546+1100000+1500000+5000000+25000000+11011000+7460860+1365600+500000+2886651</f>
        <v>65605657</v>
      </c>
      <c r="L56" s="44">
        <f>6250072+8248057+10658867+6056480+12011000</f>
        <v>43224476</v>
      </c>
      <c r="M56" s="44">
        <f t="shared" si="29"/>
        <v>352302594</v>
      </c>
      <c r="N56" s="27">
        <v>0</v>
      </c>
      <c r="O56" s="44">
        <v>330899158.05000001</v>
      </c>
      <c r="P56" s="44">
        <f t="shared" si="30"/>
        <v>21403435.949999988</v>
      </c>
      <c r="Q56" s="9">
        <v>319209696.05000001</v>
      </c>
      <c r="R56" s="25">
        <f t="shared" si="14"/>
        <v>0.90606683426804402</v>
      </c>
      <c r="S56" s="9">
        <v>55020878.979999997</v>
      </c>
      <c r="T56" s="10">
        <v>54475878.979999997</v>
      </c>
    </row>
    <row r="57" spans="1:20" s="6" customFormat="1" ht="29.25" customHeigh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42</v>
      </c>
      <c r="G57" s="23" t="s">
        <v>114</v>
      </c>
      <c r="H57" s="7" t="s">
        <v>5</v>
      </c>
      <c r="I57" s="8" t="s">
        <v>6</v>
      </c>
      <c r="J57" s="44">
        <v>90459640</v>
      </c>
      <c r="K57" s="44">
        <f>685420+3400000+9000000+71669518+415650+126000+15915866+6587505+3093638+23669389.66+1600000+730809+500000+7098900+31080</f>
        <v>144523775.66</v>
      </c>
      <c r="L57" s="44">
        <f>25000000+28720+89119679+864045+2000000+57062</f>
        <v>117069506</v>
      </c>
      <c r="M57" s="44">
        <f t="shared" si="29"/>
        <v>117913909.66</v>
      </c>
      <c r="N57" s="27">
        <v>0</v>
      </c>
      <c r="O57" s="44">
        <v>63583682</v>
      </c>
      <c r="P57" s="44">
        <f t="shared" si="30"/>
        <v>54330227.659999996</v>
      </c>
      <c r="Q57" s="9">
        <v>6577243</v>
      </c>
      <c r="R57" s="25">
        <f t="shared" si="14"/>
        <v>5.57800434144302E-2</v>
      </c>
      <c r="S57" s="9">
        <v>1649288</v>
      </c>
      <c r="T57" s="10">
        <v>1649288</v>
      </c>
    </row>
    <row r="58" spans="1:20" s="6" customFormat="1" ht="16.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43</v>
      </c>
      <c r="G58" s="23" t="s">
        <v>115</v>
      </c>
      <c r="H58" s="7" t="s">
        <v>5</v>
      </c>
      <c r="I58" s="8" t="s">
        <v>6</v>
      </c>
      <c r="J58" s="44">
        <v>336036763</v>
      </c>
      <c r="K58" s="44">
        <f>6471822+50000000+13620000+1411324+64000000+500000+99478792.28+120230208+912870+27729287+16533960+2843600+2616000+6000000+21732488+47727760+1731657+26114156.9+3000000+51642879+1469480</f>
        <v>565766284.17999995</v>
      </c>
      <c r="L58" s="44">
        <f>20577512+2769584+6765305+2983330+8517735+127253+23457950+412881+500000+20000000+2870</f>
        <v>86114420</v>
      </c>
      <c r="M58" s="44">
        <f t="shared" si="29"/>
        <v>815688627.17999995</v>
      </c>
      <c r="N58" s="9">
        <v>0</v>
      </c>
      <c r="O58" s="44">
        <v>458226451.44999999</v>
      </c>
      <c r="P58" s="44">
        <f t="shared" si="30"/>
        <v>357462175.72999996</v>
      </c>
      <c r="Q58" s="9">
        <v>364512279.44999999</v>
      </c>
      <c r="R58" s="25">
        <f t="shared" si="14"/>
        <v>0.44687674598356536</v>
      </c>
      <c r="S58" s="9">
        <v>148072962</v>
      </c>
      <c r="T58" s="10">
        <v>146862061</v>
      </c>
    </row>
    <row r="59" spans="1:20" s="6" customFormat="1" ht="24.7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44</v>
      </c>
      <c r="G59" s="23" t="s">
        <v>116</v>
      </c>
      <c r="H59" s="7" t="s">
        <v>5</v>
      </c>
      <c r="I59" s="63" t="s">
        <v>6</v>
      </c>
      <c r="J59" s="44">
        <v>4200000</v>
      </c>
      <c r="K59" s="44">
        <f>660637+3920858+67583193+4000000+3072000+80000+2000000</f>
        <v>81316688</v>
      </c>
      <c r="L59" s="44">
        <f>600000+3920858+139072+1000000</f>
        <v>5659930</v>
      </c>
      <c r="M59" s="44">
        <f>J59+K59-L59</f>
        <v>79856758</v>
      </c>
      <c r="N59" s="9">
        <v>0</v>
      </c>
      <c r="O59" s="44">
        <v>79834813</v>
      </c>
      <c r="P59" s="27">
        <f t="shared" si="30"/>
        <v>21945</v>
      </c>
      <c r="Q59" s="9">
        <v>4721565</v>
      </c>
      <c r="R59" s="25">
        <f t="shared" si="14"/>
        <v>5.912542805707189E-2</v>
      </c>
      <c r="S59" s="9">
        <v>2075900</v>
      </c>
      <c r="T59" s="10">
        <v>1958000</v>
      </c>
    </row>
    <row r="60" spans="1:20" s="6" customFormat="1" ht="16.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45</v>
      </c>
      <c r="G60" s="23" t="s">
        <v>117</v>
      </c>
      <c r="H60" s="7" t="s">
        <v>5</v>
      </c>
      <c r="I60" s="8" t="s">
        <v>6</v>
      </c>
      <c r="J60" s="44">
        <v>282668220</v>
      </c>
      <c r="K60" s="44">
        <f>3830280+600000+515566+2113061+685000+44798.35+718893+50000+12626433+50000</f>
        <v>21234031.350000001</v>
      </c>
      <c r="L60" s="44">
        <f>1100000+114718262+17662512+71420+121587487+100000+43124</f>
        <v>255282805</v>
      </c>
      <c r="M60" s="44">
        <f>J60+K60-L60</f>
        <v>48619446.350000024</v>
      </c>
      <c r="N60" s="9">
        <v>0</v>
      </c>
      <c r="O60" s="44">
        <v>14751666</v>
      </c>
      <c r="P60" s="27">
        <f>+M60-O60-N60</f>
        <v>33867780.350000024</v>
      </c>
      <c r="Q60" s="9">
        <v>8079233</v>
      </c>
      <c r="R60" s="25">
        <f t="shared" si="14"/>
        <v>0.1661728712795183</v>
      </c>
      <c r="S60" s="9">
        <v>5300052</v>
      </c>
      <c r="T60" s="10">
        <v>5300052</v>
      </c>
    </row>
    <row r="61" spans="1:20" s="6" customFormat="1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35</v>
      </c>
      <c r="G61" s="23" t="s">
        <v>118</v>
      </c>
      <c r="H61" s="7" t="s">
        <v>5</v>
      </c>
      <c r="I61" s="8" t="s">
        <v>6</v>
      </c>
      <c r="J61" s="44">
        <v>4200000</v>
      </c>
      <c r="K61" s="44">
        <f>1000000+140343.1+400000+6739499+100000+101824</f>
        <v>8481666.0999999996</v>
      </c>
      <c r="L61" s="44">
        <v>4200000</v>
      </c>
      <c r="M61" s="44">
        <f>J61+K61-L61</f>
        <v>8481666.0999999996</v>
      </c>
      <c r="N61" s="9">
        <v>0</v>
      </c>
      <c r="O61" s="44">
        <v>8333457</v>
      </c>
      <c r="P61" s="27">
        <f t="shared" si="30"/>
        <v>148209.09999999963</v>
      </c>
      <c r="Q61" s="9">
        <v>1000000</v>
      </c>
      <c r="R61" s="25">
        <f t="shared" si="14"/>
        <v>0.11790136374267315</v>
      </c>
      <c r="S61" s="9">
        <v>253601</v>
      </c>
      <c r="T61" s="10">
        <v>162600</v>
      </c>
    </row>
    <row r="62" spans="1:20" s="6" customFormat="1" ht="24.7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37</v>
      </c>
      <c r="G62" s="23" t="s">
        <v>119</v>
      </c>
      <c r="H62" s="7" t="s">
        <v>5</v>
      </c>
      <c r="I62" s="8" t="s">
        <v>6</v>
      </c>
      <c r="J62" s="44">
        <v>102299498</v>
      </c>
      <c r="K62" s="44">
        <f>388320+4816875+1600000+554842+2400000+26611424+16188680+93837314+38659368+6500000+1286619+462107+408916+23239408.92+5000000+300000+495910+383280</f>
        <v>223133063.92000002</v>
      </c>
      <c r="L62" s="44">
        <f>655801+2789620+713338+2190200+2350000+2120</f>
        <v>8701079</v>
      </c>
      <c r="M62" s="44">
        <f t="shared" si="29"/>
        <v>316731482.92000002</v>
      </c>
      <c r="N62" s="9">
        <v>0</v>
      </c>
      <c r="O62" s="44">
        <v>297794231.05000001</v>
      </c>
      <c r="P62" s="27">
        <f t="shared" si="30"/>
        <v>18937251.870000005</v>
      </c>
      <c r="Q62" s="9">
        <v>65187080.049999997</v>
      </c>
      <c r="R62" s="25">
        <f t="shared" si="14"/>
        <v>0.20581181084061964</v>
      </c>
      <c r="S62" s="9">
        <v>5412377</v>
      </c>
      <c r="T62" s="10">
        <v>3131875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39</v>
      </c>
      <c r="G63" s="23" t="s">
        <v>107</v>
      </c>
      <c r="H63" s="7" t="s">
        <v>5</v>
      </c>
      <c r="I63" s="8" t="s">
        <v>6</v>
      </c>
      <c r="J63" s="44"/>
      <c r="K63" s="44">
        <f>1600000+936058+17988+1500000+558124</f>
        <v>4612170</v>
      </c>
      <c r="L63" s="44">
        <f>1600000</f>
        <v>1600000</v>
      </c>
      <c r="M63" s="44">
        <f t="shared" si="29"/>
        <v>3012170</v>
      </c>
      <c r="N63" s="9">
        <v>0</v>
      </c>
      <c r="O63" s="44">
        <v>2994182</v>
      </c>
      <c r="P63" s="27">
        <f t="shared" si="30"/>
        <v>17988</v>
      </c>
      <c r="Q63" s="9">
        <v>0</v>
      </c>
      <c r="R63" s="25">
        <f t="shared" si="14"/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40</v>
      </c>
      <c r="G64" s="23" t="s">
        <v>108</v>
      </c>
      <c r="H64" s="7" t="s">
        <v>5</v>
      </c>
      <c r="I64" s="8" t="s">
        <v>6</v>
      </c>
      <c r="J64" s="44"/>
      <c r="K64" s="44">
        <f>2295000+197248+35355649+11752560+7000000</f>
        <v>56600457</v>
      </c>
      <c r="L64" s="44">
        <f>98624+11561067+37749273</f>
        <v>49408964</v>
      </c>
      <c r="M64" s="44">
        <f t="shared" ref="M64" si="31">J64+K64-L64</f>
        <v>7191493</v>
      </c>
      <c r="N64" s="9">
        <v>0</v>
      </c>
      <c r="O64" s="44">
        <v>7000000</v>
      </c>
      <c r="P64" s="27">
        <f t="shared" ref="P64" si="32">+M64-O64-N64</f>
        <v>191493</v>
      </c>
      <c r="Q64" s="9">
        <v>0</v>
      </c>
      <c r="R64" s="25">
        <f t="shared" ref="R64" si="33">IF(Q64&gt;1,Q64/(M64),0)</f>
        <v>0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42</v>
      </c>
      <c r="G65" s="23" t="s">
        <v>120</v>
      </c>
      <c r="H65" s="7" t="s">
        <v>5</v>
      </c>
      <c r="I65" s="8" t="s">
        <v>6</v>
      </c>
      <c r="J65" s="44">
        <v>4615110</v>
      </c>
      <c r="K65" s="44">
        <f>983880+370549+1014273+2653516+1076530</f>
        <v>6098748</v>
      </c>
      <c r="L65" s="44">
        <f>370549</f>
        <v>370549</v>
      </c>
      <c r="M65" s="44">
        <f>J65+K65-L65</f>
        <v>10343309</v>
      </c>
      <c r="N65" s="9">
        <v>0</v>
      </c>
      <c r="O65" s="44">
        <v>3483880</v>
      </c>
      <c r="P65" s="27">
        <f t="shared" si="30"/>
        <v>6859429</v>
      </c>
      <c r="Q65" s="9">
        <v>983880</v>
      </c>
      <c r="R65" s="25">
        <f t="shared" si="14"/>
        <v>9.5122363645908675E-2</v>
      </c>
      <c r="S65" s="9">
        <v>983880</v>
      </c>
      <c r="T65" s="10">
        <v>983880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43</v>
      </c>
      <c r="G66" s="23" t="s">
        <v>121</v>
      </c>
      <c r="H66" s="7" t="s">
        <v>5</v>
      </c>
      <c r="I66" s="8" t="s">
        <v>6</v>
      </c>
      <c r="J66" s="44">
        <v>32000000</v>
      </c>
      <c r="K66" s="44">
        <f>10739512+9409250+639000+2873092+5102333+38240462+6000000+7231116+128078849.37+4000000+30000000+39994461+200000+5600448</f>
        <v>288108523.37</v>
      </c>
      <c r="L66" s="44">
        <f>1436546+1598160+291266+3606131+1600000+9000</f>
        <v>8541103</v>
      </c>
      <c r="M66" s="44">
        <f t="shared" si="29"/>
        <v>311567420.37</v>
      </c>
      <c r="N66" s="9">
        <v>0</v>
      </c>
      <c r="O66" s="44">
        <v>291424942.39999998</v>
      </c>
      <c r="P66" s="27">
        <f t="shared" si="30"/>
        <v>20142477.970000029</v>
      </c>
      <c r="Q66" s="9">
        <v>40842847.399999999</v>
      </c>
      <c r="R66" s="25">
        <f t="shared" si="14"/>
        <v>0.1310883126082224</v>
      </c>
      <c r="S66" s="9">
        <v>11337881</v>
      </c>
      <c r="T66" s="10">
        <v>11337881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123</v>
      </c>
      <c r="H67" s="7" t="s">
        <v>5</v>
      </c>
      <c r="I67" s="8" t="s">
        <v>6</v>
      </c>
      <c r="J67" s="44">
        <v>10100000</v>
      </c>
      <c r="K67" s="44">
        <f>48000+26180+651840+17687251+62914+1556580+14342404</f>
        <v>34375169</v>
      </c>
      <c r="L67" s="44">
        <f>10000000+22666</f>
        <v>10022666</v>
      </c>
      <c r="M67" s="44">
        <f t="shared" si="29"/>
        <v>34452503</v>
      </c>
      <c r="N67" s="9">
        <v>0</v>
      </c>
      <c r="O67" s="44">
        <v>34364539</v>
      </c>
      <c r="P67" s="27">
        <f>+M67-O67-N67</f>
        <v>87964</v>
      </c>
      <c r="Q67" s="9">
        <v>702354</v>
      </c>
      <c r="R67" s="25">
        <f t="shared" si="14"/>
        <v>2.0386153075728636E-2</v>
      </c>
      <c r="S67" s="9">
        <v>72354</v>
      </c>
      <c r="T67" s="10">
        <v>72354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124</v>
      </c>
      <c r="H68" s="7" t="s">
        <v>5</v>
      </c>
      <c r="I68" s="8" t="s">
        <v>6</v>
      </c>
      <c r="J68" s="44">
        <v>15000000</v>
      </c>
      <c r="K68" s="44">
        <f>2603977.54+1075658299+670000000+1078267925+218500000+819367038+212313923+2.7</f>
        <v>4076711165.2399998</v>
      </c>
      <c r="L68" s="44"/>
      <c r="M68" s="44">
        <f t="shared" si="29"/>
        <v>4091711165.2399998</v>
      </c>
      <c r="N68" s="9">
        <v>0</v>
      </c>
      <c r="O68" s="44">
        <v>4076711164.54</v>
      </c>
      <c r="P68" s="27">
        <f>+M68-O68-N68</f>
        <v>15000000.699999809</v>
      </c>
      <c r="Q68" s="9">
        <v>2603977.54</v>
      </c>
      <c r="R68" s="25">
        <f t="shared" si="14"/>
        <v>6.3640306826184866E-4</v>
      </c>
      <c r="S68" s="9">
        <v>2603977.54</v>
      </c>
      <c r="T68" s="10">
        <v>2603977.54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125</v>
      </c>
      <c r="H69" s="7" t="s">
        <v>5</v>
      </c>
      <c r="I69" s="8" t="s">
        <v>6</v>
      </c>
      <c r="J69" s="44">
        <v>943654750</v>
      </c>
      <c r="K69" s="44">
        <f>3000000</f>
        <v>3000000</v>
      </c>
      <c r="L69" s="44">
        <f>10000000</f>
        <v>10000000</v>
      </c>
      <c r="M69" s="44">
        <f t="shared" si="29"/>
        <v>936654750</v>
      </c>
      <c r="N69" s="9">
        <v>0</v>
      </c>
      <c r="O69" s="44">
        <v>928654750</v>
      </c>
      <c r="P69" s="27">
        <f t="shared" si="30"/>
        <v>8000000</v>
      </c>
      <c r="Q69" s="9">
        <v>799846651</v>
      </c>
      <c r="R69" s="25">
        <f t="shared" si="14"/>
        <v>0.8539396730759119</v>
      </c>
      <c r="S69" s="9">
        <v>441823326</v>
      </c>
      <c r="T69" s="10">
        <v>337074942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126</v>
      </c>
      <c r="H70" s="7" t="s">
        <v>5</v>
      </c>
      <c r="I70" s="8" t="s">
        <v>6</v>
      </c>
      <c r="J70" s="44">
        <v>241200000</v>
      </c>
      <c r="K70" s="44"/>
      <c r="L70" s="44"/>
      <c r="M70" s="44">
        <f t="shared" si="29"/>
        <v>241200000</v>
      </c>
      <c r="N70" s="9">
        <v>0</v>
      </c>
      <c r="O70" s="44">
        <v>241200000</v>
      </c>
      <c r="P70" s="27">
        <f t="shared" si="30"/>
        <v>0</v>
      </c>
      <c r="Q70" s="9">
        <v>241200000</v>
      </c>
      <c r="R70" s="25">
        <f t="shared" si="14"/>
        <v>1</v>
      </c>
      <c r="S70" s="9">
        <v>47370580</v>
      </c>
      <c r="T70" s="10">
        <v>47370580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45</v>
      </c>
      <c r="G71" s="23" t="s">
        <v>127</v>
      </c>
      <c r="H71" s="7" t="s">
        <v>5</v>
      </c>
      <c r="I71" s="8" t="s">
        <v>6</v>
      </c>
      <c r="J71" s="44">
        <v>202620006</v>
      </c>
      <c r="K71" s="44"/>
      <c r="L71" s="44"/>
      <c r="M71" s="44">
        <f t="shared" si="29"/>
        <v>202620006</v>
      </c>
      <c r="N71" s="9">
        <v>0</v>
      </c>
      <c r="O71" s="44">
        <v>202620000</v>
      </c>
      <c r="P71" s="27">
        <f t="shared" si="30"/>
        <v>6</v>
      </c>
      <c r="Q71" s="9">
        <v>202620000</v>
      </c>
      <c r="R71" s="25">
        <f t="shared" si="14"/>
        <v>0.9999999703879191</v>
      </c>
      <c r="S71" s="9">
        <v>91883473</v>
      </c>
      <c r="T71" s="10">
        <v>91883473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128</v>
      </c>
      <c r="H72" s="7" t="s">
        <v>5</v>
      </c>
      <c r="I72" s="8" t="s">
        <v>6</v>
      </c>
      <c r="J72" s="44">
        <v>5734282670</v>
      </c>
      <c r="K72" s="44">
        <f>44585939</f>
        <v>44585939</v>
      </c>
      <c r="L72" s="44">
        <f>2500000+30000000+1100000+11011000+817800+418739038+146182615+205529415+64018336+40004212</f>
        <v>919902416</v>
      </c>
      <c r="M72" s="44">
        <f>J72+K72-L72</f>
        <v>4858966193</v>
      </c>
      <c r="N72" s="9">
        <v>0</v>
      </c>
      <c r="O72" s="44">
        <v>2816098066.4400001</v>
      </c>
      <c r="P72" s="27">
        <f t="shared" si="30"/>
        <v>2042868126.5599999</v>
      </c>
      <c r="Q72" s="9">
        <v>2816098066.4400001</v>
      </c>
      <c r="R72" s="25">
        <f t="shared" si="14"/>
        <v>0.5795673307002982</v>
      </c>
      <c r="S72" s="9">
        <v>2814416391.4400001</v>
      </c>
      <c r="T72" s="10">
        <v>2806219831.3600001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128</v>
      </c>
      <c r="H73" s="7" t="s">
        <v>8</v>
      </c>
      <c r="I73" s="8" t="s">
        <v>9</v>
      </c>
      <c r="J73" s="44">
        <v>950000000</v>
      </c>
      <c r="K73" s="44"/>
      <c r="L73" s="44">
        <v>50000000</v>
      </c>
      <c r="M73" s="44">
        <f t="shared" si="29"/>
        <v>900000000</v>
      </c>
      <c r="N73" s="9">
        <v>0</v>
      </c>
      <c r="O73" s="44">
        <v>274008411.19</v>
      </c>
      <c r="P73" s="27">
        <f t="shared" si="30"/>
        <v>625991588.80999994</v>
      </c>
      <c r="Q73" s="9">
        <v>267777320.19</v>
      </c>
      <c r="R73" s="25">
        <f t="shared" si="14"/>
        <v>0.29753035576666664</v>
      </c>
      <c r="S73" s="9">
        <v>267777320.19</v>
      </c>
      <c r="T73" s="10">
        <v>266879461.19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128</v>
      </c>
      <c r="H74" s="7" t="s">
        <v>8</v>
      </c>
      <c r="I74" s="8">
        <v>21</v>
      </c>
      <c r="J74" s="44">
        <v>475113000</v>
      </c>
      <c r="K74" s="44"/>
      <c r="L74" s="44"/>
      <c r="M74" s="44">
        <f t="shared" si="29"/>
        <v>475113000</v>
      </c>
      <c r="N74" s="9">
        <v>0</v>
      </c>
      <c r="O74" s="44">
        <v>426327620</v>
      </c>
      <c r="P74" s="27">
        <f t="shared" si="30"/>
        <v>48785380</v>
      </c>
      <c r="Q74" s="9">
        <v>426051900</v>
      </c>
      <c r="R74" s="25">
        <f t="shared" si="14"/>
        <v>0.89673803916121009</v>
      </c>
      <c r="S74" s="9">
        <v>426051900</v>
      </c>
      <c r="T74" s="10">
        <v>345652275</v>
      </c>
    </row>
    <row r="75" spans="1:20" s="6" customFormat="1" ht="16.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7" t="s">
        <v>35</v>
      </c>
      <c r="G75" s="23" t="s">
        <v>129</v>
      </c>
      <c r="H75" s="7" t="s">
        <v>5</v>
      </c>
      <c r="I75" s="8" t="s">
        <v>6</v>
      </c>
      <c r="J75" s="44">
        <v>5439474317</v>
      </c>
      <c r="K75" s="44"/>
      <c r="L75" s="44"/>
      <c r="M75" s="44">
        <f t="shared" si="29"/>
        <v>5439474317</v>
      </c>
      <c r="N75" s="9">
        <v>0</v>
      </c>
      <c r="O75" s="44">
        <v>5390430892.4799995</v>
      </c>
      <c r="P75" s="27">
        <f t="shared" si="30"/>
        <v>49043424.520000458</v>
      </c>
      <c r="Q75" s="9">
        <v>5390430892.4799995</v>
      </c>
      <c r="R75" s="25">
        <f t="shared" si="14"/>
        <v>0.99098379334805853</v>
      </c>
      <c r="S75" s="9">
        <v>5287544692</v>
      </c>
      <c r="T75" s="10">
        <v>5287544692</v>
      </c>
    </row>
    <row r="76" spans="1:20" s="6" customFormat="1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65" t="s">
        <v>37</v>
      </c>
      <c r="G76" s="23" t="s">
        <v>130</v>
      </c>
      <c r="H76" s="7" t="s">
        <v>5</v>
      </c>
      <c r="I76" s="8" t="s">
        <v>6</v>
      </c>
      <c r="J76" s="44">
        <v>2697677288</v>
      </c>
      <c r="K76" s="44"/>
      <c r="L76" s="44">
        <v>4543116</v>
      </c>
      <c r="M76" s="44">
        <f t="shared" si="29"/>
        <v>2693134172</v>
      </c>
      <c r="N76" s="9">
        <v>0</v>
      </c>
      <c r="O76" s="44">
        <v>2668575073</v>
      </c>
      <c r="P76" s="27">
        <f t="shared" si="30"/>
        <v>24559099</v>
      </c>
      <c r="Q76" s="9">
        <v>2668575073</v>
      </c>
      <c r="R76" s="25">
        <f t="shared" si="14"/>
        <v>0.99088084832336376</v>
      </c>
      <c r="S76" s="9">
        <v>1722487533</v>
      </c>
      <c r="T76" s="10">
        <v>1717707642</v>
      </c>
    </row>
    <row r="77" spans="1:20" s="6" customFormat="1" ht="16.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37</v>
      </c>
      <c r="G77" s="107" t="s">
        <v>131</v>
      </c>
      <c r="H77" s="7" t="s">
        <v>5</v>
      </c>
      <c r="I77" s="8" t="s">
        <v>6</v>
      </c>
      <c r="J77" s="44">
        <v>70000</v>
      </c>
      <c r="K77" s="44">
        <f>98400000+500000</f>
        <v>98900000</v>
      </c>
      <c r="L77" s="44"/>
      <c r="M77" s="44">
        <f t="shared" si="29"/>
        <v>98970000</v>
      </c>
      <c r="N77" s="9"/>
      <c r="O77" s="44">
        <v>96364200</v>
      </c>
      <c r="P77" s="27">
        <f t="shared" si="30"/>
        <v>2605800</v>
      </c>
      <c r="Q77" s="9">
        <v>96364200</v>
      </c>
      <c r="R77" s="25">
        <f t="shared" si="14"/>
        <v>0.97367080933616246</v>
      </c>
      <c r="S77" s="9">
        <v>51364200</v>
      </c>
      <c r="T77" s="10">
        <v>51364200</v>
      </c>
    </row>
    <row r="78" spans="1:20" s="6" customFormat="1" ht="41.2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39</v>
      </c>
      <c r="G78" s="23" t="s">
        <v>142</v>
      </c>
      <c r="H78" s="7" t="s">
        <v>5</v>
      </c>
      <c r="I78" s="8" t="s">
        <v>6</v>
      </c>
      <c r="J78" s="44">
        <v>6395104796</v>
      </c>
      <c r="K78" s="44">
        <f>2500000+13808036+1850674+1347784+666729+12385472+107150363+13997771+29523000</f>
        <v>183229829</v>
      </c>
      <c r="L78" s="44">
        <f>8701011.61+102410000+98400000+11923800+46000000+412350191+1155658299+1311507044+4261856+350628000</f>
        <v>3501840201.6100001</v>
      </c>
      <c r="M78" s="44">
        <f>J78+K78-L78</f>
        <v>3076494423.3899999</v>
      </c>
      <c r="N78" s="108">
        <v>0</v>
      </c>
      <c r="O78" s="44">
        <v>3047514948</v>
      </c>
      <c r="P78" s="27">
        <f t="shared" si="30"/>
        <v>28979475.389999866</v>
      </c>
      <c r="Q78" s="9">
        <v>3007001189</v>
      </c>
      <c r="R78" s="25">
        <f t="shared" si="14"/>
        <v>0.97741155197238261</v>
      </c>
      <c r="S78" s="9">
        <v>2656938351</v>
      </c>
      <c r="T78" s="10">
        <v>2656938351</v>
      </c>
    </row>
    <row r="79" spans="1:20" s="6" customFormat="1" ht="33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40</v>
      </c>
      <c r="G79" s="23" t="s">
        <v>132</v>
      </c>
      <c r="H79" s="7" t="s">
        <v>5</v>
      </c>
      <c r="I79" s="8" t="s">
        <v>6</v>
      </c>
      <c r="J79" s="44">
        <v>200840908</v>
      </c>
      <c r="K79" s="44">
        <f>30000000+20000000</f>
        <v>50000000</v>
      </c>
      <c r="L79" s="44">
        <v>22000000</v>
      </c>
      <c r="M79" s="44">
        <f t="shared" si="29"/>
        <v>228840908</v>
      </c>
      <c r="N79" s="9">
        <v>0</v>
      </c>
      <c r="O79" s="44">
        <v>109532124.37</v>
      </c>
      <c r="P79" s="27">
        <f t="shared" si="30"/>
        <v>119308783.63</v>
      </c>
      <c r="Q79" s="9">
        <v>109532124.37</v>
      </c>
      <c r="R79" s="25">
        <f t="shared" si="14"/>
        <v>0.47863874220425662</v>
      </c>
      <c r="S79" s="9">
        <v>109532124.37</v>
      </c>
      <c r="T79" s="10">
        <v>109532124.37</v>
      </c>
    </row>
    <row r="80" spans="1:20" s="6" customFormat="1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42</v>
      </c>
      <c r="G80" s="23" t="s">
        <v>133</v>
      </c>
      <c r="H80" s="7" t="s">
        <v>5</v>
      </c>
      <c r="I80" s="8" t="s">
        <v>6</v>
      </c>
      <c r="J80" s="44">
        <v>17226804360</v>
      </c>
      <c r="K80" s="44"/>
      <c r="L80" s="44">
        <f>31751709.15+30311311+13078328</f>
        <v>75141348.150000006</v>
      </c>
      <c r="M80" s="44">
        <f>J80+K80-L80</f>
        <v>17151663011.85</v>
      </c>
      <c r="N80" s="9">
        <v>0</v>
      </c>
      <c r="O80" s="44">
        <v>16698472322.84</v>
      </c>
      <c r="P80" s="27">
        <f t="shared" si="30"/>
        <v>453190689.01000023</v>
      </c>
      <c r="Q80" s="9">
        <v>16698472322.84</v>
      </c>
      <c r="R80" s="25">
        <f t="shared" si="14"/>
        <v>0.97357744909651656</v>
      </c>
      <c r="S80" s="9">
        <v>9496909617</v>
      </c>
      <c r="T80" s="10">
        <v>9496909617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44</v>
      </c>
      <c r="G81" s="23" t="s">
        <v>134</v>
      </c>
      <c r="H81" s="7" t="s">
        <v>5</v>
      </c>
      <c r="I81" s="63" t="s">
        <v>6</v>
      </c>
      <c r="J81" s="44">
        <v>4204679271</v>
      </c>
      <c r="K81" s="44">
        <f>729430.17+1076970+817800+80000000+4236096+191531644+2740117+35064506</f>
        <v>316196563.17000002</v>
      </c>
      <c r="L81" s="44">
        <f>8520080+496000000+38200548+1769586+2043349+64000000+1850674+406500000+29302787+120000000+4425865+4710000+670000000+20921616+218500000+10500000+666729+6500000+1956000+10000000+430000000+116949427+24085405+23903000+3250000+181982984+17056263</f>
        <v>2913594313</v>
      </c>
      <c r="M81" s="44">
        <f>J81+K81-L81</f>
        <v>1607281521.1700001</v>
      </c>
      <c r="N81" s="9">
        <v>0</v>
      </c>
      <c r="O81" s="44">
        <v>498585390.17000002</v>
      </c>
      <c r="P81" s="27">
        <f t="shared" si="30"/>
        <v>1108696131</v>
      </c>
      <c r="Q81" s="9">
        <v>337752390.17000002</v>
      </c>
      <c r="R81" s="25">
        <f t="shared" si="14"/>
        <v>0.2101389120209243</v>
      </c>
      <c r="S81" s="9">
        <v>133599929.17</v>
      </c>
      <c r="T81" s="10">
        <v>133599929.17</v>
      </c>
    </row>
    <row r="82" spans="1:259" s="6" customFormat="1" ht="24.7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39</v>
      </c>
      <c r="G82" s="23" t="s">
        <v>135</v>
      </c>
      <c r="H82" s="7" t="s">
        <v>5</v>
      </c>
      <c r="I82" s="8" t="s">
        <v>6</v>
      </c>
      <c r="J82" s="44">
        <v>441869750</v>
      </c>
      <c r="K82" s="44">
        <f>14306802+50000000+5860016+39032252+37669144</f>
        <v>146868214</v>
      </c>
      <c r="L82" s="44">
        <f>49570107+22013500+539000</f>
        <v>72122607</v>
      </c>
      <c r="M82" s="44">
        <f>J82+K82-L82</f>
        <v>516615357</v>
      </c>
      <c r="N82" s="9">
        <v>0</v>
      </c>
      <c r="O82" s="44">
        <v>215956846</v>
      </c>
      <c r="P82" s="27">
        <f t="shared" si="30"/>
        <v>300658511</v>
      </c>
      <c r="Q82" s="9">
        <v>106924594</v>
      </c>
      <c r="R82" s="25">
        <f t="shared" si="14"/>
        <v>0.20697138122434869</v>
      </c>
      <c r="S82" s="9">
        <v>0</v>
      </c>
      <c r="T82" s="10">
        <v>0</v>
      </c>
    </row>
    <row r="83" spans="1:259" s="6" customFormat="1" ht="41.2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7" t="s">
        <v>40</v>
      </c>
      <c r="G83" s="23" t="s">
        <v>136</v>
      </c>
      <c r="H83" s="7" t="s">
        <v>5</v>
      </c>
      <c r="I83" s="8" t="s">
        <v>6</v>
      </c>
      <c r="J83" s="44">
        <v>815493307</v>
      </c>
      <c r="K83" s="44">
        <f>10000000+22000000+12200000</f>
        <v>44200000</v>
      </c>
      <c r="L83" s="44">
        <f>98200598</f>
        <v>98200598</v>
      </c>
      <c r="M83" s="44">
        <f t="shared" si="29"/>
        <v>761492709</v>
      </c>
      <c r="N83" s="9">
        <v>0</v>
      </c>
      <c r="O83" s="44">
        <v>574180960.25999999</v>
      </c>
      <c r="P83" s="27">
        <f t="shared" si="30"/>
        <v>187311748.74000001</v>
      </c>
      <c r="Q83" s="9">
        <v>560317088.25999999</v>
      </c>
      <c r="R83" s="25">
        <f t="shared" si="14"/>
        <v>0.73581412092023057</v>
      </c>
      <c r="S83" s="9">
        <v>399249184.60000002</v>
      </c>
      <c r="T83" s="10">
        <v>396271247.68000001</v>
      </c>
    </row>
    <row r="84" spans="1:259" s="6" customFormat="1" ht="16.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5" t="s">
        <v>43</v>
      </c>
      <c r="G84" s="23" t="s">
        <v>143</v>
      </c>
      <c r="H84" s="7" t="s">
        <v>5</v>
      </c>
      <c r="I84" s="8" t="s">
        <v>6</v>
      </c>
      <c r="J84" s="44">
        <v>786597200</v>
      </c>
      <c r="K84" s="44">
        <f>1514800+1956000</f>
        <v>3470800</v>
      </c>
      <c r="L84" s="44">
        <f>50000000+9048000</f>
        <v>59048000</v>
      </c>
      <c r="M84" s="44">
        <f>J84+K84-L84</f>
        <v>731020000</v>
      </c>
      <c r="N84" s="9">
        <v>0</v>
      </c>
      <c r="O84" s="44">
        <v>624851000</v>
      </c>
      <c r="P84" s="27">
        <f t="shared" si="30"/>
        <v>106169000</v>
      </c>
      <c r="Q84" s="9">
        <v>624851000</v>
      </c>
      <c r="R84" s="25">
        <f t="shared" si="14"/>
        <v>0.85476594347623869</v>
      </c>
      <c r="S84" s="9">
        <v>75427431.010000005</v>
      </c>
      <c r="T84" s="10">
        <v>75427431.010000005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65" t="s">
        <v>43</v>
      </c>
      <c r="G85" s="23" t="s">
        <v>143</v>
      </c>
      <c r="H85" s="7" t="s">
        <v>5</v>
      </c>
      <c r="I85" s="8">
        <v>20</v>
      </c>
      <c r="J85" s="44">
        <v>0</v>
      </c>
      <c r="K85" s="44">
        <v>50000000</v>
      </c>
      <c r="L85" s="44"/>
      <c r="M85" s="44">
        <f>J85+K85-L85</f>
        <v>50000000</v>
      </c>
      <c r="N85" s="9">
        <v>0</v>
      </c>
      <c r="O85" s="44">
        <v>43020800</v>
      </c>
      <c r="P85" s="27">
        <f t="shared" ref="P85" si="34">+M85-O85-N85</f>
        <v>6979200</v>
      </c>
      <c r="Q85" s="9">
        <v>43020800</v>
      </c>
      <c r="R85" s="25">
        <f t="shared" ref="R85" si="35">IF(Q85&gt;1,Q85/(M85),0)</f>
        <v>0.86041599999999996</v>
      </c>
      <c r="S85" s="9">
        <v>0</v>
      </c>
      <c r="T85" s="10">
        <v>0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47</v>
      </c>
      <c r="F86" s="7"/>
      <c r="G86" s="23" t="s">
        <v>73</v>
      </c>
      <c r="H86" s="7" t="s">
        <v>5</v>
      </c>
      <c r="I86" s="8" t="s">
        <v>6</v>
      </c>
      <c r="J86" s="44">
        <v>1797427001</v>
      </c>
      <c r="K86" s="44">
        <f>24196499+50000000</f>
        <v>74196499</v>
      </c>
      <c r="L86" s="44">
        <v>16000000</v>
      </c>
      <c r="M86" s="44">
        <f t="shared" si="29"/>
        <v>1855623500</v>
      </c>
      <c r="N86" s="9">
        <v>0</v>
      </c>
      <c r="O86" s="44">
        <v>1795623500</v>
      </c>
      <c r="P86" s="27">
        <f t="shared" si="30"/>
        <v>60000000</v>
      </c>
      <c r="Q86" s="9">
        <v>1246024079</v>
      </c>
      <c r="R86" s="25">
        <f t="shared" si="14"/>
        <v>0.67148539507071348</v>
      </c>
      <c r="S86" s="9">
        <v>1221967541</v>
      </c>
      <c r="T86" s="10">
        <v>1209455552</v>
      </c>
    </row>
    <row r="87" spans="1:259" ht="16.5" customHeight="1" x14ac:dyDescent="0.25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5</v>
      </c>
      <c r="I87" s="81" t="s">
        <v>6</v>
      </c>
      <c r="J87" s="64">
        <f>J45+J36</f>
        <v>49726600000</v>
      </c>
      <c r="K87" s="64">
        <f>K45+K36</f>
        <v>8422018568.8899994</v>
      </c>
      <c r="L87" s="64">
        <f>L45+L36</f>
        <v>8462022780.8899994</v>
      </c>
      <c r="M87" s="119">
        <f>M45+M36</f>
        <v>49726600000</v>
      </c>
      <c r="N87" s="64">
        <f>N45+N36</f>
        <v>0</v>
      </c>
      <c r="O87" s="64">
        <f t="shared" ref="O87:Q87" si="36">O45+O36</f>
        <v>43757450047.199997</v>
      </c>
      <c r="P87" s="64">
        <f t="shared" si="36"/>
        <v>5969149952.7999992</v>
      </c>
      <c r="Q87" s="64">
        <f t="shared" si="36"/>
        <v>37083094467.199997</v>
      </c>
      <c r="R87" s="76">
        <f t="shared" si="14"/>
        <v>0.74573959344093499</v>
      </c>
      <c r="S87" s="64">
        <f>S45+S36</f>
        <v>25274343681.329998</v>
      </c>
      <c r="T87" s="73">
        <f>T45+T36</f>
        <v>25126487115.329998</v>
      </c>
      <c r="U87" s="32"/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8</v>
      </c>
      <c r="I88" s="81">
        <v>20</v>
      </c>
      <c r="J88" s="64">
        <f>J46</f>
        <v>950000000</v>
      </c>
      <c r="K88" s="64">
        <f>K46</f>
        <v>50000000</v>
      </c>
      <c r="L88" s="64">
        <f t="shared" ref="L88:Q88" si="37">L46</f>
        <v>50000000</v>
      </c>
      <c r="M88" s="64">
        <f t="shared" si="37"/>
        <v>950000000</v>
      </c>
      <c r="N88" s="64">
        <f t="shared" si="37"/>
        <v>0</v>
      </c>
      <c r="O88" s="64">
        <f t="shared" si="37"/>
        <v>317029211.19</v>
      </c>
      <c r="P88" s="64">
        <f t="shared" si="37"/>
        <v>632970788.80999994</v>
      </c>
      <c r="Q88" s="64">
        <f t="shared" si="37"/>
        <v>310798120.19</v>
      </c>
      <c r="R88" s="76">
        <f t="shared" si="14"/>
        <v>0.32715591598947369</v>
      </c>
      <c r="S88" s="64">
        <f>S46</f>
        <v>267777320.19</v>
      </c>
      <c r="T88" s="73">
        <f>T46</f>
        <v>266879461.19</v>
      </c>
      <c r="U88" s="32"/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21</v>
      </c>
      <c r="J89" s="64">
        <f>J47</f>
        <v>475113000</v>
      </c>
      <c r="K89" s="64">
        <v>0</v>
      </c>
      <c r="L89" s="64">
        <f t="shared" ref="L89:Q89" si="38">L47</f>
        <v>0</v>
      </c>
      <c r="M89" s="64">
        <f t="shared" si="38"/>
        <v>475113000</v>
      </c>
      <c r="N89" s="64">
        <f>N47</f>
        <v>0</v>
      </c>
      <c r="O89" s="64">
        <f t="shared" si="38"/>
        <v>426327620</v>
      </c>
      <c r="P89" s="64">
        <f t="shared" si="38"/>
        <v>48785380</v>
      </c>
      <c r="Q89" s="64">
        <f t="shared" si="38"/>
        <v>426051900</v>
      </c>
      <c r="R89" s="76">
        <f t="shared" si="14"/>
        <v>0.89673803916121009</v>
      </c>
      <c r="S89" s="64">
        <f>S47</f>
        <v>426051900</v>
      </c>
      <c r="T89" s="73">
        <f>T47</f>
        <v>345652275</v>
      </c>
      <c r="U89" s="32"/>
    </row>
    <row r="90" spans="1:259" ht="15.75" customHeight="1" thickBot="1" x14ac:dyDescent="0.3">
      <c r="A90" s="135" t="s">
        <v>81</v>
      </c>
      <c r="B90" s="136"/>
      <c r="C90" s="136"/>
      <c r="D90" s="136"/>
      <c r="E90" s="136"/>
      <c r="F90" s="136"/>
      <c r="G90" s="136"/>
      <c r="H90" s="136"/>
      <c r="I90" s="137"/>
      <c r="J90" s="77">
        <f>SUM(J87:J89)</f>
        <v>51151713000</v>
      </c>
      <c r="K90" s="77">
        <f>SUM(K87:K89)</f>
        <v>8472018568.8899994</v>
      </c>
      <c r="L90" s="77">
        <f>SUM(L87:L89)</f>
        <v>8512022780.8899994</v>
      </c>
      <c r="M90" s="77">
        <f>SUM(M87:M89)</f>
        <v>51151713000</v>
      </c>
      <c r="N90" s="77">
        <f>SUM(N87:N89)</f>
        <v>0</v>
      </c>
      <c r="O90" s="77">
        <f t="shared" ref="O90:Q90" si="39">SUM(O87:O89)</f>
        <v>44500806878.389999</v>
      </c>
      <c r="P90" s="77">
        <f t="shared" si="39"/>
        <v>6650906121.6099987</v>
      </c>
      <c r="Q90" s="77">
        <f t="shared" si="39"/>
        <v>37819944487.389999</v>
      </c>
      <c r="R90" s="76">
        <f t="shared" si="14"/>
        <v>0.73936809286113248</v>
      </c>
      <c r="S90" s="77">
        <f>SUM(S87:S89)</f>
        <v>25968172901.519997</v>
      </c>
      <c r="T90" s="78">
        <f>SUM(T87:T89)</f>
        <v>25739018851.519997</v>
      </c>
    </row>
    <row r="91" spans="1:259" ht="15.75" customHeight="1" thickBot="1" x14ac:dyDescent="0.3">
      <c r="A91" s="129" t="s">
        <v>86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1"/>
    </row>
    <row r="92" spans="1:259" s="47" customFormat="1" ht="24.75" customHeight="1" x14ac:dyDescent="0.25">
      <c r="A92" s="90" t="s">
        <v>3</v>
      </c>
      <c r="B92" s="11" t="s">
        <v>51</v>
      </c>
      <c r="C92" s="11" t="s">
        <v>51</v>
      </c>
      <c r="D92" s="11"/>
      <c r="E92" s="11"/>
      <c r="F92" s="11"/>
      <c r="G92" s="12" t="s">
        <v>103</v>
      </c>
      <c r="H92" s="11" t="s">
        <v>5</v>
      </c>
      <c r="I92" s="13">
        <v>10</v>
      </c>
      <c r="J92" s="14">
        <f>J93</f>
        <v>29515700000</v>
      </c>
      <c r="K92" s="14">
        <f t="shared" ref="K92:L92" si="40">K93</f>
        <v>0</v>
      </c>
      <c r="L92" s="24">
        <f t="shared" si="40"/>
        <v>0</v>
      </c>
      <c r="M92" s="24">
        <f t="shared" ref="M92:P93" si="41">M93</f>
        <v>29515700000</v>
      </c>
      <c r="N92" s="14">
        <f t="shared" si="41"/>
        <v>29515700000</v>
      </c>
      <c r="O92" s="14">
        <f t="shared" si="41"/>
        <v>0</v>
      </c>
      <c r="P92" s="24">
        <f t="shared" si="41"/>
        <v>0</v>
      </c>
      <c r="Q92" s="14">
        <f t="shared" ref="Q92" si="42">Q93</f>
        <v>0</v>
      </c>
      <c r="R92" s="50">
        <f t="shared" ref="R92:R103" si="43">IF(Q92&gt;1,Q92/(M92),0)</f>
        <v>0</v>
      </c>
      <c r="S92" s="14">
        <f>S93</f>
        <v>0</v>
      </c>
      <c r="T92" s="22">
        <f>T93</f>
        <v>0</v>
      </c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 t="s">
        <v>34</v>
      </c>
      <c r="E93" s="11"/>
      <c r="F93" s="11"/>
      <c r="G93" s="12" t="s">
        <v>88</v>
      </c>
      <c r="H93" s="11" t="s">
        <v>5</v>
      </c>
      <c r="I93" s="13">
        <v>10</v>
      </c>
      <c r="J93" s="14">
        <f>J94</f>
        <v>29515700000</v>
      </c>
      <c r="K93" s="14">
        <f>K94</f>
        <v>0</v>
      </c>
      <c r="L93" s="24">
        <f>L94</f>
        <v>0</v>
      </c>
      <c r="M93" s="24">
        <f t="shared" si="41"/>
        <v>29515700000</v>
      </c>
      <c r="N93" s="14">
        <f t="shared" si="41"/>
        <v>29515700000</v>
      </c>
      <c r="O93" s="14">
        <f t="shared" si="41"/>
        <v>0</v>
      </c>
      <c r="P93" s="24">
        <f t="shared" si="41"/>
        <v>0</v>
      </c>
      <c r="Q93" s="14">
        <f>Q94</f>
        <v>0</v>
      </c>
      <c r="R93" s="50">
        <f t="shared" si="43"/>
        <v>0</v>
      </c>
      <c r="S93" s="14">
        <f>S94</f>
        <v>0</v>
      </c>
      <c r="T93" s="22">
        <f>T94</f>
        <v>0</v>
      </c>
    </row>
    <row r="94" spans="1:259" s="47" customFormat="1" ht="24.75" customHeight="1" x14ac:dyDescent="0.25">
      <c r="A94" s="91" t="s">
        <v>3</v>
      </c>
      <c r="B94" s="7" t="s">
        <v>51</v>
      </c>
      <c r="C94" s="7" t="s">
        <v>51</v>
      </c>
      <c r="D94" s="7" t="s">
        <v>34</v>
      </c>
      <c r="E94" s="7">
        <v>999</v>
      </c>
      <c r="F94" s="7"/>
      <c r="G94" s="23" t="s">
        <v>229</v>
      </c>
      <c r="H94" s="7" t="s">
        <v>5</v>
      </c>
      <c r="I94" s="8">
        <v>10</v>
      </c>
      <c r="J94" s="27">
        <v>29515700000</v>
      </c>
      <c r="K94" s="27">
        <v>0</v>
      </c>
      <c r="L94" s="27">
        <v>0</v>
      </c>
      <c r="M94" s="27">
        <f t="shared" ref="M94:M101" si="44">J94+K94-L94</f>
        <v>29515700000</v>
      </c>
      <c r="N94" s="27">
        <v>29515700000</v>
      </c>
      <c r="O94" s="9">
        <v>0</v>
      </c>
      <c r="P94" s="27">
        <f>+M94-O94-N94</f>
        <v>0</v>
      </c>
      <c r="Q94" s="9">
        <v>0</v>
      </c>
      <c r="R94" s="50">
        <f t="shared" si="43"/>
        <v>0</v>
      </c>
      <c r="S94" s="9">
        <v>0</v>
      </c>
      <c r="T94" s="10">
        <v>0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70</v>
      </c>
      <c r="D95" s="11"/>
      <c r="E95" s="11"/>
      <c r="F95" s="11"/>
      <c r="G95" s="12" t="s">
        <v>139</v>
      </c>
      <c r="H95" s="11" t="s">
        <v>5</v>
      </c>
      <c r="I95" s="13">
        <v>10</v>
      </c>
      <c r="J95" s="14">
        <f>J96</f>
        <v>1329700000</v>
      </c>
      <c r="K95" s="24">
        <f t="shared" ref="K95:L96" si="45">K96</f>
        <v>0</v>
      </c>
      <c r="L95" s="24">
        <f t="shared" si="45"/>
        <v>0</v>
      </c>
      <c r="M95" s="24">
        <f t="shared" si="44"/>
        <v>1329700000</v>
      </c>
      <c r="N95" s="14">
        <v>0</v>
      </c>
      <c r="O95" s="14">
        <f t="shared" ref="O95:Q96" si="46">O96</f>
        <v>1162262702</v>
      </c>
      <c r="P95" s="24">
        <f>P96</f>
        <v>167437298</v>
      </c>
      <c r="Q95" s="14">
        <f t="shared" si="46"/>
        <v>1162262702</v>
      </c>
      <c r="R95" s="50">
        <f t="shared" si="43"/>
        <v>0.87407889147928108</v>
      </c>
      <c r="S95" s="14">
        <f>S96</f>
        <v>1162238319</v>
      </c>
      <c r="T95" s="22">
        <f>T96</f>
        <v>1162238319</v>
      </c>
    </row>
    <row r="96" spans="1:259" s="47" customFormat="1" ht="24.75" customHeight="1" x14ac:dyDescent="0.25">
      <c r="A96" s="90" t="s">
        <v>3</v>
      </c>
      <c r="B96" s="11" t="s">
        <v>51</v>
      </c>
      <c r="C96" s="11" t="s">
        <v>70</v>
      </c>
      <c r="D96" s="11" t="s">
        <v>50</v>
      </c>
      <c r="E96" s="11"/>
      <c r="F96" s="11"/>
      <c r="G96" s="12" t="s">
        <v>104</v>
      </c>
      <c r="H96" s="11" t="s">
        <v>5</v>
      </c>
      <c r="I96" s="13">
        <v>10</v>
      </c>
      <c r="J96" s="24">
        <f>J97</f>
        <v>1329700000</v>
      </c>
      <c r="K96" s="24">
        <f t="shared" si="45"/>
        <v>0</v>
      </c>
      <c r="L96" s="24">
        <f t="shared" si="45"/>
        <v>0</v>
      </c>
      <c r="M96" s="24">
        <f t="shared" si="44"/>
        <v>1329700000</v>
      </c>
      <c r="N96" s="24"/>
      <c r="O96" s="24">
        <f t="shared" si="46"/>
        <v>1162262702</v>
      </c>
      <c r="P96" s="24">
        <f t="shared" si="46"/>
        <v>167437298</v>
      </c>
      <c r="Q96" s="14">
        <f t="shared" si="46"/>
        <v>1162262702</v>
      </c>
      <c r="R96" s="50">
        <f t="shared" si="43"/>
        <v>0.87407889147928108</v>
      </c>
      <c r="S96" s="14">
        <f>S97</f>
        <v>1162238319</v>
      </c>
      <c r="T96" s="22">
        <f>T97</f>
        <v>1162238319</v>
      </c>
    </row>
    <row r="97" spans="1:27" s="6" customFormat="1" ht="24.75" customHeight="1" x14ac:dyDescent="0.25">
      <c r="A97" s="90" t="s">
        <v>3</v>
      </c>
      <c r="B97" s="11" t="s">
        <v>51</v>
      </c>
      <c r="C97" s="11" t="s">
        <v>70</v>
      </c>
      <c r="D97" s="11" t="s">
        <v>50</v>
      </c>
      <c r="E97" s="11" t="s">
        <v>71</v>
      </c>
      <c r="F97" s="11"/>
      <c r="G97" s="12" t="s">
        <v>230</v>
      </c>
      <c r="H97" s="11" t="s">
        <v>5</v>
      </c>
      <c r="I97" s="13">
        <v>10</v>
      </c>
      <c r="J97" s="24">
        <f>J98+J99</f>
        <v>1329700000</v>
      </c>
      <c r="K97" s="24">
        <f t="shared" ref="K97:L97" si="47">K98+K99</f>
        <v>0</v>
      </c>
      <c r="L97" s="24">
        <f t="shared" si="47"/>
        <v>0</v>
      </c>
      <c r="M97" s="24">
        <f t="shared" si="44"/>
        <v>1329700000</v>
      </c>
      <c r="N97" s="24">
        <f>N98+N99</f>
        <v>0</v>
      </c>
      <c r="O97" s="24">
        <f>O98+O99</f>
        <v>1162262702</v>
      </c>
      <c r="P97" s="24">
        <f>P98+P99</f>
        <v>167437298</v>
      </c>
      <c r="Q97" s="24">
        <f>Q98+Q99</f>
        <v>1162262702</v>
      </c>
      <c r="R97" s="26">
        <f>IF(Q97&gt;1,Q97/(M97),0)</f>
        <v>0.87407889147928108</v>
      </c>
      <c r="S97" s="14">
        <f>S98+S99</f>
        <v>1162238319</v>
      </c>
      <c r="T97" s="22">
        <f>T98+T99</f>
        <v>1162238319</v>
      </c>
    </row>
    <row r="98" spans="1:27" s="6" customFormat="1" ht="16.5" customHeight="1" x14ac:dyDescent="0.25">
      <c r="A98" s="91" t="s">
        <v>3</v>
      </c>
      <c r="B98" s="7" t="s">
        <v>51</v>
      </c>
      <c r="C98" s="7" t="s">
        <v>70</v>
      </c>
      <c r="D98" s="7" t="s">
        <v>50</v>
      </c>
      <c r="E98" s="7" t="s">
        <v>71</v>
      </c>
      <c r="F98" s="7" t="s">
        <v>35</v>
      </c>
      <c r="G98" s="23" t="s">
        <v>74</v>
      </c>
      <c r="H98" s="7" t="s">
        <v>5</v>
      </c>
      <c r="I98" s="7" t="s">
        <v>6</v>
      </c>
      <c r="J98" s="27">
        <v>840300740</v>
      </c>
      <c r="K98" s="27"/>
      <c r="L98" s="27"/>
      <c r="M98" s="27">
        <f t="shared" si="44"/>
        <v>840300740</v>
      </c>
      <c r="N98" s="9"/>
      <c r="O98" s="27">
        <v>823185374</v>
      </c>
      <c r="P98" s="27">
        <f>+M98-O98-N98</f>
        <v>17115366</v>
      </c>
      <c r="Q98" s="27">
        <v>823185374</v>
      </c>
      <c r="R98" s="25">
        <f t="shared" si="43"/>
        <v>0.97963185656601948</v>
      </c>
      <c r="S98" s="27">
        <v>823185373</v>
      </c>
      <c r="T98" s="51">
        <v>823185373</v>
      </c>
    </row>
    <row r="99" spans="1:27" s="47" customFormat="1" ht="16.5" customHeight="1" x14ac:dyDescent="0.25">
      <c r="A99" s="91" t="s">
        <v>3</v>
      </c>
      <c r="B99" s="7" t="s">
        <v>51</v>
      </c>
      <c r="C99" s="7" t="s">
        <v>70</v>
      </c>
      <c r="D99" s="7" t="s">
        <v>50</v>
      </c>
      <c r="E99" s="7" t="s">
        <v>71</v>
      </c>
      <c r="F99" s="7" t="s">
        <v>37</v>
      </c>
      <c r="G99" s="23" t="s">
        <v>75</v>
      </c>
      <c r="H99" s="7" t="s">
        <v>5</v>
      </c>
      <c r="I99" s="7" t="s">
        <v>6</v>
      </c>
      <c r="J99" s="27">
        <v>489399260</v>
      </c>
      <c r="K99" s="27"/>
      <c r="L99" s="27"/>
      <c r="M99" s="27">
        <f t="shared" si="44"/>
        <v>489399260</v>
      </c>
      <c r="N99" s="9">
        <v>0</v>
      </c>
      <c r="O99" s="27">
        <v>339077328</v>
      </c>
      <c r="P99" s="27">
        <f>+M99-O99-N99</f>
        <v>150321932</v>
      </c>
      <c r="Q99" s="27">
        <v>339077328</v>
      </c>
      <c r="R99" s="25">
        <f t="shared" si="43"/>
        <v>0.69284397365047101</v>
      </c>
      <c r="S99" s="27">
        <v>339052946</v>
      </c>
      <c r="T99" s="51">
        <v>339052946</v>
      </c>
    </row>
    <row r="100" spans="1:27" s="6" customFormat="1" ht="16.5" customHeight="1" x14ac:dyDescent="0.25">
      <c r="A100" s="90" t="s">
        <v>3</v>
      </c>
      <c r="B100" s="11" t="s">
        <v>51</v>
      </c>
      <c r="C100" s="11" t="s">
        <v>6</v>
      </c>
      <c r="D100" s="11"/>
      <c r="E100" s="11"/>
      <c r="F100" s="11"/>
      <c r="G100" s="12" t="s">
        <v>85</v>
      </c>
      <c r="H100" s="11" t="s">
        <v>5</v>
      </c>
      <c r="I100" s="11">
        <v>11</v>
      </c>
      <c r="J100" s="24">
        <f>J101</f>
        <v>0</v>
      </c>
      <c r="K100" s="24"/>
      <c r="L100" s="24"/>
      <c r="M100" s="24">
        <f t="shared" si="44"/>
        <v>0</v>
      </c>
      <c r="N100" s="14">
        <f>N101</f>
        <v>0</v>
      </c>
      <c r="O100" s="24">
        <f>O101</f>
        <v>0</v>
      </c>
      <c r="P100" s="24">
        <f>P101</f>
        <v>0</v>
      </c>
      <c r="Q100" s="24"/>
      <c r="R100" s="26">
        <f t="shared" si="43"/>
        <v>0</v>
      </c>
      <c r="S100" s="24"/>
      <c r="T100" s="33"/>
    </row>
    <row r="101" spans="1:27" s="6" customFormat="1" ht="16.5" customHeight="1" x14ac:dyDescent="0.25">
      <c r="A101" s="90" t="s">
        <v>3</v>
      </c>
      <c r="B101" s="71" t="s">
        <v>51</v>
      </c>
      <c r="C101" s="7" t="s">
        <v>6</v>
      </c>
      <c r="D101" s="7"/>
      <c r="E101" s="7"/>
      <c r="F101" s="7"/>
      <c r="G101" s="107" t="s">
        <v>85</v>
      </c>
      <c r="H101" s="7" t="s">
        <v>5</v>
      </c>
      <c r="I101" s="7">
        <v>11</v>
      </c>
      <c r="J101" s="27">
        <v>0</v>
      </c>
      <c r="K101" s="27">
        <v>0</v>
      </c>
      <c r="L101" s="27">
        <v>0</v>
      </c>
      <c r="M101" s="27">
        <f t="shared" si="44"/>
        <v>0</v>
      </c>
      <c r="N101" s="9">
        <v>0</v>
      </c>
      <c r="O101" s="9"/>
      <c r="P101" s="27">
        <f>+M101-O101-N101</f>
        <v>0</v>
      </c>
      <c r="Q101" s="27"/>
      <c r="R101" s="25">
        <f t="shared" si="43"/>
        <v>0</v>
      </c>
      <c r="S101" s="27"/>
      <c r="T101" s="51"/>
    </row>
    <row r="102" spans="1:27" s="55" customFormat="1" ht="16.5" customHeight="1" x14ac:dyDescent="0.25">
      <c r="A102" s="92" t="s">
        <v>3</v>
      </c>
      <c r="B102" s="81" t="s">
        <v>51</v>
      </c>
      <c r="C102" s="81"/>
      <c r="D102" s="81"/>
      <c r="E102" s="81"/>
      <c r="F102" s="81"/>
      <c r="G102" s="82" t="s">
        <v>17</v>
      </c>
      <c r="H102" s="81" t="s">
        <v>5</v>
      </c>
      <c r="I102" s="83" t="s">
        <v>6</v>
      </c>
      <c r="J102" s="64">
        <f t="shared" ref="J102:Q102" si="48">J100+J95+J92</f>
        <v>30845400000</v>
      </c>
      <c r="K102" s="64">
        <f t="shared" si="48"/>
        <v>0</v>
      </c>
      <c r="L102" s="64">
        <f t="shared" si="48"/>
        <v>0</v>
      </c>
      <c r="M102" s="64">
        <f t="shared" si="48"/>
        <v>30845400000</v>
      </c>
      <c r="N102" s="64">
        <f t="shared" si="48"/>
        <v>29515700000</v>
      </c>
      <c r="O102" s="64">
        <f t="shared" si="48"/>
        <v>1162262702</v>
      </c>
      <c r="P102" s="64">
        <f t="shared" si="48"/>
        <v>167437298</v>
      </c>
      <c r="Q102" s="64">
        <f t="shared" si="48"/>
        <v>1162262702</v>
      </c>
      <c r="R102" s="76">
        <f t="shared" si="43"/>
        <v>3.7680260330551718E-2</v>
      </c>
      <c r="S102" s="64">
        <f>S100+S95+S92</f>
        <v>1162238319</v>
      </c>
      <c r="T102" s="73">
        <f>T100+T95+T92</f>
        <v>1162238319</v>
      </c>
      <c r="U102" s="54"/>
      <c r="V102" s="54"/>
      <c r="W102" s="54"/>
      <c r="X102" s="54"/>
      <c r="Y102" s="54"/>
      <c r="Z102" s="54"/>
      <c r="AA102" s="54"/>
    </row>
    <row r="103" spans="1:27" s="6" customFormat="1" ht="16.5" customHeight="1" thickBot="1" x14ac:dyDescent="0.3">
      <c r="A103" s="135" t="s">
        <v>27</v>
      </c>
      <c r="B103" s="136"/>
      <c r="C103" s="136"/>
      <c r="D103" s="136"/>
      <c r="E103" s="136"/>
      <c r="F103" s="136"/>
      <c r="G103" s="136"/>
      <c r="H103" s="136"/>
      <c r="I103" s="137"/>
      <c r="J103" s="77">
        <f>J102</f>
        <v>30845400000</v>
      </c>
      <c r="K103" s="77">
        <f t="shared" ref="K103:L103" si="49">K102</f>
        <v>0</v>
      </c>
      <c r="L103" s="77">
        <f t="shared" si="49"/>
        <v>0</v>
      </c>
      <c r="M103" s="77">
        <f>M102</f>
        <v>30845400000</v>
      </c>
      <c r="N103" s="77">
        <f>N102</f>
        <v>29515700000</v>
      </c>
      <c r="O103" s="77">
        <f>O102</f>
        <v>1162262702</v>
      </c>
      <c r="P103" s="77">
        <f>P102</f>
        <v>167437298</v>
      </c>
      <c r="Q103" s="77">
        <f>Q102</f>
        <v>1162262702</v>
      </c>
      <c r="R103" s="76">
        <f t="shared" si="43"/>
        <v>3.7680260330551718E-2</v>
      </c>
      <c r="S103" s="77">
        <f>S102</f>
        <v>1162238319</v>
      </c>
      <c r="T103" s="78">
        <f>T102</f>
        <v>1162238319</v>
      </c>
    </row>
    <row r="104" spans="1:27" s="47" customFormat="1" ht="16.5" customHeight="1" thickBot="1" x14ac:dyDescent="0.3">
      <c r="A104" s="129" t="s">
        <v>101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1"/>
    </row>
    <row r="105" spans="1:27" s="47" customFormat="1" ht="16.5" customHeight="1" x14ac:dyDescent="0.25">
      <c r="A105" s="90" t="s">
        <v>3</v>
      </c>
      <c r="B105" s="11" t="s">
        <v>72</v>
      </c>
      <c r="C105" s="11"/>
      <c r="D105" s="11"/>
      <c r="E105" s="11"/>
      <c r="F105" s="11"/>
      <c r="G105" s="12" t="s">
        <v>84</v>
      </c>
      <c r="H105" s="11" t="s">
        <v>5</v>
      </c>
      <c r="I105" s="11" t="s">
        <v>6</v>
      </c>
      <c r="J105" s="24">
        <f>J107</f>
        <v>484300000</v>
      </c>
      <c r="K105" s="24">
        <f t="shared" ref="K105:L105" si="50">K107</f>
        <v>0</v>
      </c>
      <c r="L105" s="24">
        <f t="shared" si="50"/>
        <v>0</v>
      </c>
      <c r="M105" s="24">
        <f>M107</f>
        <v>484300000</v>
      </c>
      <c r="N105" s="24">
        <f>N107+N111</f>
        <v>0</v>
      </c>
      <c r="O105" s="24">
        <f>O107</f>
        <v>458429023</v>
      </c>
      <c r="P105" s="24">
        <f>P107</f>
        <v>25870977</v>
      </c>
      <c r="Q105" s="24">
        <f>Q107</f>
        <v>458429023</v>
      </c>
      <c r="R105" s="26">
        <f t="shared" ref="R105:R119" si="51">IF(Q105&gt;1,Q105/(M105),0)</f>
        <v>0.94658067933099321</v>
      </c>
      <c r="S105" s="24">
        <f>S107</f>
        <v>458429023</v>
      </c>
      <c r="T105" s="33">
        <f>T107</f>
        <v>458429023</v>
      </c>
    </row>
    <row r="106" spans="1:27" s="47" customFormat="1" ht="16.5" customHeight="1" x14ac:dyDescent="0.25">
      <c r="A106" s="90" t="s">
        <v>3</v>
      </c>
      <c r="B106" s="11" t="s">
        <v>72</v>
      </c>
      <c r="C106" s="11"/>
      <c r="D106" s="11"/>
      <c r="E106" s="11"/>
      <c r="F106" s="11"/>
      <c r="G106" s="12" t="s">
        <v>84</v>
      </c>
      <c r="H106" s="11" t="s">
        <v>5</v>
      </c>
      <c r="I106" s="11">
        <v>11</v>
      </c>
      <c r="J106" s="24">
        <f>J110</f>
        <v>877200000</v>
      </c>
      <c r="K106" s="24">
        <f t="shared" ref="K106:L106" si="52">K110</f>
        <v>0</v>
      </c>
      <c r="L106" s="24">
        <f t="shared" si="52"/>
        <v>0</v>
      </c>
      <c r="M106" s="24">
        <f>M110</f>
        <v>877200000</v>
      </c>
      <c r="N106" s="24">
        <f>N110</f>
        <v>0</v>
      </c>
      <c r="O106" s="24">
        <f>O110</f>
        <v>0</v>
      </c>
      <c r="P106" s="24">
        <f>P110</f>
        <v>877200000</v>
      </c>
      <c r="Q106" s="24">
        <f>Q110</f>
        <v>0</v>
      </c>
      <c r="R106" s="26">
        <f t="shared" si="51"/>
        <v>0</v>
      </c>
      <c r="S106" s="24">
        <f>S110</f>
        <v>0</v>
      </c>
      <c r="T106" s="33">
        <f>T110</f>
        <v>0</v>
      </c>
    </row>
    <row r="107" spans="1:27" s="6" customFormat="1" ht="16.5" customHeight="1" x14ac:dyDescent="0.25">
      <c r="A107" s="90" t="s">
        <v>3</v>
      </c>
      <c r="B107" s="11" t="s">
        <v>72</v>
      </c>
      <c r="C107" s="11" t="s">
        <v>34</v>
      </c>
      <c r="D107" s="11"/>
      <c r="E107" s="11"/>
      <c r="F107" s="11"/>
      <c r="G107" s="12" t="s">
        <v>82</v>
      </c>
      <c r="H107" s="11" t="s">
        <v>5</v>
      </c>
      <c r="I107" s="11" t="s">
        <v>6</v>
      </c>
      <c r="J107" s="24">
        <f>J108+J109</f>
        <v>484300000</v>
      </c>
      <c r="K107" s="24">
        <f t="shared" ref="K107" si="53">K108+K109</f>
        <v>0</v>
      </c>
      <c r="L107" s="24">
        <f>L108+L109</f>
        <v>0</v>
      </c>
      <c r="M107" s="24">
        <f>M108+M109</f>
        <v>484300000</v>
      </c>
      <c r="N107" s="24">
        <f>N108+N109</f>
        <v>0</v>
      </c>
      <c r="O107" s="24">
        <f>O108+O109</f>
        <v>458429023</v>
      </c>
      <c r="P107" s="24">
        <f>M107-O107-N107</f>
        <v>25870977</v>
      </c>
      <c r="Q107" s="24">
        <f>Q108+Q109</f>
        <v>458429023</v>
      </c>
      <c r="R107" s="26">
        <f t="shared" si="51"/>
        <v>0.94658067933099321</v>
      </c>
      <c r="S107" s="24">
        <f>S108+S109</f>
        <v>458429023</v>
      </c>
      <c r="T107" s="33">
        <f>T108+T109</f>
        <v>458429023</v>
      </c>
    </row>
    <row r="108" spans="1:27" s="6" customFormat="1" ht="16.5" customHeight="1" x14ac:dyDescent="0.25">
      <c r="A108" s="90" t="s">
        <v>3</v>
      </c>
      <c r="B108" s="7" t="s">
        <v>72</v>
      </c>
      <c r="C108" s="7" t="s">
        <v>34</v>
      </c>
      <c r="D108" s="7" t="s">
        <v>50</v>
      </c>
      <c r="E108" s="7" t="s">
        <v>35</v>
      </c>
      <c r="F108" s="7"/>
      <c r="G108" s="23" t="s">
        <v>76</v>
      </c>
      <c r="H108" s="7" t="s">
        <v>5</v>
      </c>
      <c r="I108" s="7" t="s">
        <v>6</v>
      </c>
      <c r="J108" s="27">
        <v>472800000</v>
      </c>
      <c r="K108" s="27"/>
      <c r="L108" s="27"/>
      <c r="M108" s="27">
        <f t="shared" ref="M108:M109" si="54">J108+K108-L108</f>
        <v>472800000</v>
      </c>
      <c r="N108" s="9">
        <v>0</v>
      </c>
      <c r="O108" s="27">
        <v>449594023</v>
      </c>
      <c r="P108" s="27">
        <f>+M108-O108-N108</f>
        <v>23205977</v>
      </c>
      <c r="Q108" s="27">
        <v>449594023</v>
      </c>
      <c r="R108" s="26">
        <f t="shared" si="51"/>
        <v>0.95091798434856178</v>
      </c>
      <c r="S108" s="27">
        <v>449594023</v>
      </c>
      <c r="T108" s="51">
        <v>449594023</v>
      </c>
    </row>
    <row r="109" spans="1:27" s="47" customFormat="1" ht="16.5" customHeight="1" x14ac:dyDescent="0.25">
      <c r="A109" s="90" t="s">
        <v>3</v>
      </c>
      <c r="B109" s="7" t="s">
        <v>72</v>
      </c>
      <c r="C109" s="7" t="s">
        <v>34</v>
      </c>
      <c r="D109" s="7" t="s">
        <v>50</v>
      </c>
      <c r="E109" s="7" t="s">
        <v>43</v>
      </c>
      <c r="F109" s="7"/>
      <c r="G109" s="23" t="s">
        <v>77</v>
      </c>
      <c r="H109" s="7" t="s">
        <v>5</v>
      </c>
      <c r="I109" s="7" t="s">
        <v>6</v>
      </c>
      <c r="J109" s="27">
        <v>11500000</v>
      </c>
      <c r="K109" s="27"/>
      <c r="L109" s="27"/>
      <c r="M109" s="27">
        <f t="shared" si="54"/>
        <v>11500000</v>
      </c>
      <c r="N109" s="9">
        <v>0</v>
      </c>
      <c r="O109" s="27">
        <v>8835000</v>
      </c>
      <c r="P109" s="27">
        <f>+M109-O109-N109</f>
        <v>2665000</v>
      </c>
      <c r="Q109" s="27">
        <v>8835000</v>
      </c>
      <c r="R109" s="26">
        <f t="shared" si="51"/>
        <v>0.76826086956521744</v>
      </c>
      <c r="S109" s="27">
        <v>8835000</v>
      </c>
      <c r="T109" s="51">
        <v>8835000</v>
      </c>
    </row>
    <row r="110" spans="1:27" s="47" customFormat="1" ht="16.5" customHeight="1" x14ac:dyDescent="0.25">
      <c r="A110" s="90" t="s">
        <v>3</v>
      </c>
      <c r="B110" s="11" t="s">
        <v>72</v>
      </c>
      <c r="C110" s="11" t="s">
        <v>70</v>
      </c>
      <c r="D110" s="11"/>
      <c r="E110" s="11"/>
      <c r="F110" s="11"/>
      <c r="G110" s="12" t="s">
        <v>137</v>
      </c>
      <c r="H110" s="11" t="s">
        <v>5</v>
      </c>
      <c r="I110" s="11">
        <v>11</v>
      </c>
      <c r="J110" s="24">
        <f>J111</f>
        <v>877200000</v>
      </c>
      <c r="K110" s="24"/>
      <c r="L110" s="24"/>
      <c r="M110" s="24">
        <f>M111</f>
        <v>877200000</v>
      </c>
      <c r="N110" s="14">
        <f>N111</f>
        <v>0</v>
      </c>
      <c r="O110" s="24">
        <f t="shared" ref="O110:T111" si="55">O111</f>
        <v>0</v>
      </c>
      <c r="P110" s="24">
        <f>+M110-O110-N110</f>
        <v>877200000</v>
      </c>
      <c r="Q110" s="24">
        <f t="shared" si="55"/>
        <v>0</v>
      </c>
      <c r="R110" s="26">
        <f t="shared" si="51"/>
        <v>0</v>
      </c>
      <c r="S110" s="24">
        <f t="shared" si="55"/>
        <v>0</v>
      </c>
      <c r="T110" s="33">
        <f t="shared" si="55"/>
        <v>0</v>
      </c>
    </row>
    <row r="111" spans="1:27" s="6" customFormat="1" ht="16.5" customHeight="1" x14ac:dyDescent="0.25">
      <c r="A111" s="90" t="s">
        <v>3</v>
      </c>
      <c r="B111" s="11" t="s">
        <v>72</v>
      </c>
      <c r="C111" s="11" t="s">
        <v>70</v>
      </c>
      <c r="D111" s="71" t="s">
        <v>34</v>
      </c>
      <c r="E111" s="11"/>
      <c r="F111" s="11"/>
      <c r="G111" s="12" t="s">
        <v>83</v>
      </c>
      <c r="H111" s="11" t="s">
        <v>5</v>
      </c>
      <c r="I111" s="11">
        <v>11</v>
      </c>
      <c r="J111" s="24">
        <f>J112</f>
        <v>877200000</v>
      </c>
      <c r="K111" s="24">
        <f t="shared" ref="K111:L111" si="56">K112</f>
        <v>0</v>
      </c>
      <c r="L111" s="24">
        <f t="shared" si="56"/>
        <v>0</v>
      </c>
      <c r="M111" s="24">
        <f>M112</f>
        <v>877200000</v>
      </c>
      <c r="N111" s="14">
        <f>N112</f>
        <v>0</v>
      </c>
      <c r="O111" s="24">
        <f t="shared" si="55"/>
        <v>0</v>
      </c>
      <c r="P111" s="24">
        <f>+M111-O111-N111</f>
        <v>877200000</v>
      </c>
      <c r="Q111" s="24">
        <f t="shared" si="55"/>
        <v>0</v>
      </c>
      <c r="R111" s="26">
        <f t="shared" si="51"/>
        <v>0</v>
      </c>
      <c r="S111" s="24">
        <f t="shared" si="55"/>
        <v>0</v>
      </c>
      <c r="T111" s="33">
        <f t="shared" si="55"/>
        <v>0</v>
      </c>
    </row>
    <row r="112" spans="1:27" ht="18" customHeight="1" x14ac:dyDescent="0.25">
      <c r="A112" s="91" t="s">
        <v>3</v>
      </c>
      <c r="B112" s="7" t="s">
        <v>72</v>
      </c>
      <c r="C112" s="7" t="s">
        <v>70</v>
      </c>
      <c r="D112" s="7" t="s">
        <v>34</v>
      </c>
      <c r="E112" s="7"/>
      <c r="F112" s="7"/>
      <c r="G112" s="23" t="s">
        <v>83</v>
      </c>
      <c r="H112" s="7" t="s">
        <v>5</v>
      </c>
      <c r="I112" s="7">
        <v>11</v>
      </c>
      <c r="J112" s="27">
        <v>877200000</v>
      </c>
      <c r="K112" s="27">
        <v>0</v>
      </c>
      <c r="L112" s="27">
        <v>0</v>
      </c>
      <c r="M112" s="27">
        <f>J112+K112-L112</f>
        <v>877200000</v>
      </c>
      <c r="N112" s="9">
        <v>0</v>
      </c>
      <c r="O112" s="27"/>
      <c r="P112" s="27">
        <f>+M112-O112-N112</f>
        <v>877200000</v>
      </c>
      <c r="Q112" s="27"/>
      <c r="R112" s="25">
        <f t="shared" si="51"/>
        <v>0</v>
      </c>
      <c r="S112" s="27"/>
      <c r="T112" s="51"/>
    </row>
    <row r="113" spans="1:21" ht="26.25" customHeight="1" x14ac:dyDescent="0.25">
      <c r="A113" s="92" t="s">
        <v>3</v>
      </c>
      <c r="B113" s="81" t="s">
        <v>72</v>
      </c>
      <c r="C113" s="81"/>
      <c r="D113" s="81"/>
      <c r="E113" s="81"/>
      <c r="F113" s="81"/>
      <c r="G113" s="82" t="s">
        <v>100</v>
      </c>
      <c r="H113" s="81" t="s">
        <v>5</v>
      </c>
      <c r="I113" s="83" t="s">
        <v>6</v>
      </c>
      <c r="J113" s="64">
        <f>J105</f>
        <v>484300000</v>
      </c>
      <c r="K113" s="64">
        <f t="shared" ref="K113:L113" si="57">K105</f>
        <v>0</v>
      </c>
      <c r="L113" s="64">
        <f t="shared" si="57"/>
        <v>0</v>
      </c>
      <c r="M113" s="64">
        <f>M105</f>
        <v>484300000</v>
      </c>
      <c r="N113" s="64">
        <f>N107</f>
        <v>0</v>
      </c>
      <c r="O113" s="64">
        <f>O107</f>
        <v>458429023</v>
      </c>
      <c r="P113" s="64">
        <f>P107</f>
        <v>25870977</v>
      </c>
      <c r="Q113" s="64">
        <f>Q107</f>
        <v>458429023</v>
      </c>
      <c r="R113" s="76">
        <f t="shared" si="51"/>
        <v>0.94658067933099321</v>
      </c>
      <c r="S113" s="64">
        <f>S107</f>
        <v>458429023</v>
      </c>
      <c r="T113" s="73">
        <f>T107</f>
        <v>458429023</v>
      </c>
    </row>
    <row r="114" spans="1:21" ht="26.25" customHeight="1" x14ac:dyDescent="0.25">
      <c r="A114" s="92" t="s">
        <v>3</v>
      </c>
      <c r="B114" s="81" t="s">
        <v>72</v>
      </c>
      <c r="C114" s="81"/>
      <c r="D114" s="81"/>
      <c r="E114" s="81"/>
      <c r="F114" s="81"/>
      <c r="G114" s="82" t="s">
        <v>100</v>
      </c>
      <c r="H114" s="81" t="s">
        <v>5</v>
      </c>
      <c r="I114" s="83">
        <v>11</v>
      </c>
      <c r="J114" s="64">
        <f>J106</f>
        <v>877200000</v>
      </c>
      <c r="K114" s="64">
        <f t="shared" ref="K114:L114" si="58">K106</f>
        <v>0</v>
      </c>
      <c r="L114" s="64">
        <f t="shared" si="58"/>
        <v>0</v>
      </c>
      <c r="M114" s="64">
        <f>M106</f>
        <v>877200000</v>
      </c>
      <c r="N114" s="64">
        <f>N111</f>
        <v>0</v>
      </c>
      <c r="O114" s="64">
        <f>O106</f>
        <v>0</v>
      </c>
      <c r="P114" s="64">
        <f>P106</f>
        <v>877200000</v>
      </c>
      <c r="Q114" s="64">
        <f>Q106</f>
        <v>0</v>
      </c>
      <c r="R114" s="76">
        <f t="shared" si="51"/>
        <v>0</v>
      </c>
      <c r="S114" s="64">
        <f>S106</f>
        <v>0</v>
      </c>
      <c r="T114" s="73">
        <f>T106</f>
        <v>0</v>
      </c>
    </row>
    <row r="115" spans="1:21" ht="16.5" customHeight="1" x14ac:dyDescent="0.25">
      <c r="A115" s="135" t="s">
        <v>105</v>
      </c>
      <c r="B115" s="136"/>
      <c r="C115" s="136"/>
      <c r="D115" s="136"/>
      <c r="E115" s="136"/>
      <c r="F115" s="136"/>
      <c r="G115" s="136"/>
      <c r="H115" s="136"/>
      <c r="I115" s="137"/>
      <c r="J115" s="77">
        <f>J113+J114</f>
        <v>1361500000</v>
      </c>
      <c r="K115" s="77">
        <f t="shared" ref="K115:L115" si="59">K113+K114</f>
        <v>0</v>
      </c>
      <c r="L115" s="77">
        <f t="shared" si="59"/>
        <v>0</v>
      </c>
      <c r="M115" s="77">
        <f>M113+M114</f>
        <v>1361500000</v>
      </c>
      <c r="N115" s="77">
        <f>N113+N114</f>
        <v>0</v>
      </c>
      <c r="O115" s="77">
        <f>O113+O114</f>
        <v>458429023</v>
      </c>
      <c r="P115" s="77">
        <f>P113+P114</f>
        <v>903070977</v>
      </c>
      <c r="Q115" s="77">
        <f>Q113+Q114</f>
        <v>458429023</v>
      </c>
      <c r="R115" s="76">
        <f t="shared" si="51"/>
        <v>0.33670879397723097</v>
      </c>
      <c r="S115" s="77">
        <f>S113+S114</f>
        <v>458429023</v>
      </c>
      <c r="T115" s="78">
        <f>T113+T114</f>
        <v>458429023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5</v>
      </c>
      <c r="I116" s="86">
        <v>10</v>
      </c>
      <c r="J116" s="72">
        <f t="shared" ref="J116:Q116" si="60">+J113+J87+J33+J102</f>
        <v>387240600000</v>
      </c>
      <c r="K116" s="72">
        <f t="shared" si="60"/>
        <v>8922018568.8899994</v>
      </c>
      <c r="L116" s="72">
        <f t="shared" si="60"/>
        <v>8962022780.8899994</v>
      </c>
      <c r="M116" s="72">
        <f t="shared" si="60"/>
        <v>387240600000</v>
      </c>
      <c r="N116" s="72">
        <f t="shared" si="60"/>
        <v>29515700000</v>
      </c>
      <c r="O116" s="72">
        <f t="shared" si="60"/>
        <v>233492161733.20001</v>
      </c>
      <c r="P116" s="72">
        <f t="shared" si="60"/>
        <v>124232738266.8</v>
      </c>
      <c r="Q116" s="72">
        <f t="shared" si="60"/>
        <v>226817806153.20001</v>
      </c>
      <c r="R116" s="74">
        <f t="shared" si="51"/>
        <v>0.58572837185253823</v>
      </c>
      <c r="S116" s="72">
        <f>+S113+S87+S33+S102</f>
        <v>212070819461.32999</v>
      </c>
      <c r="T116" s="75">
        <f>+T113+T87+T33+T102</f>
        <v>211917077995.32999</v>
      </c>
    </row>
    <row r="117" spans="1:21" ht="16.5" customHeight="1" x14ac:dyDescent="0.25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5</v>
      </c>
      <c r="I117" s="86">
        <v>11</v>
      </c>
      <c r="J117" s="72">
        <f>J114</f>
        <v>877200000</v>
      </c>
      <c r="K117" s="72">
        <f t="shared" ref="K117:L117" si="61">K114</f>
        <v>0</v>
      </c>
      <c r="L117" s="72">
        <f t="shared" si="61"/>
        <v>0</v>
      </c>
      <c r="M117" s="72">
        <f>M114</f>
        <v>877200000</v>
      </c>
      <c r="N117" s="72">
        <f>N114</f>
        <v>0</v>
      </c>
      <c r="O117" s="72">
        <f>O114</f>
        <v>0</v>
      </c>
      <c r="P117" s="72">
        <f>P114</f>
        <v>877200000</v>
      </c>
      <c r="Q117" s="72">
        <f>Q114</f>
        <v>0</v>
      </c>
      <c r="R117" s="74">
        <f t="shared" si="51"/>
        <v>0</v>
      </c>
      <c r="S117" s="72">
        <f>S114</f>
        <v>0</v>
      </c>
      <c r="T117" s="75">
        <f>T114</f>
        <v>0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8</v>
      </c>
      <c r="I118" s="86">
        <v>20</v>
      </c>
      <c r="J118" s="72">
        <f t="shared" ref="J118:Q119" si="62">J88</f>
        <v>950000000</v>
      </c>
      <c r="K118" s="72">
        <f t="shared" si="62"/>
        <v>50000000</v>
      </c>
      <c r="L118" s="72">
        <f t="shared" si="62"/>
        <v>50000000</v>
      </c>
      <c r="M118" s="72">
        <f t="shared" si="62"/>
        <v>950000000</v>
      </c>
      <c r="N118" s="72">
        <f t="shared" si="62"/>
        <v>0</v>
      </c>
      <c r="O118" s="72">
        <f t="shared" si="62"/>
        <v>317029211.19</v>
      </c>
      <c r="P118" s="72">
        <f t="shared" si="62"/>
        <v>632970788.80999994</v>
      </c>
      <c r="Q118" s="72">
        <f t="shared" si="62"/>
        <v>310798120.19</v>
      </c>
      <c r="R118" s="74">
        <f t="shared" si="51"/>
        <v>0.32715591598947369</v>
      </c>
      <c r="S118" s="72">
        <f>S88</f>
        <v>267777320.19</v>
      </c>
      <c r="T118" s="75">
        <f>T88</f>
        <v>266879461.19</v>
      </c>
    </row>
    <row r="119" spans="1:21" s="5" customFormat="1" ht="15" customHeight="1" x14ac:dyDescent="0.2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8</v>
      </c>
      <c r="I119" s="86">
        <v>21</v>
      </c>
      <c r="J119" s="72">
        <f t="shared" si="62"/>
        <v>475113000</v>
      </c>
      <c r="K119" s="72">
        <f t="shared" si="62"/>
        <v>0</v>
      </c>
      <c r="L119" s="72">
        <f t="shared" si="62"/>
        <v>0</v>
      </c>
      <c r="M119" s="72">
        <f t="shared" si="62"/>
        <v>475113000</v>
      </c>
      <c r="N119" s="72">
        <f t="shared" si="62"/>
        <v>0</v>
      </c>
      <c r="O119" s="72">
        <f t="shared" si="62"/>
        <v>426327620</v>
      </c>
      <c r="P119" s="72">
        <f t="shared" si="62"/>
        <v>48785380</v>
      </c>
      <c r="Q119" s="72">
        <f t="shared" si="62"/>
        <v>426051900</v>
      </c>
      <c r="R119" s="74">
        <f t="shared" si="51"/>
        <v>0.89673803916121009</v>
      </c>
      <c r="S119" s="72">
        <f>S89</f>
        <v>426051900</v>
      </c>
      <c r="T119" s="75">
        <f>T89</f>
        <v>345652275</v>
      </c>
      <c r="U119" s="46"/>
    </row>
    <row r="120" spans="1:21" ht="15.75" customHeight="1" thickBot="1" x14ac:dyDescent="0.3">
      <c r="A120" s="138" t="s">
        <v>28</v>
      </c>
      <c r="B120" s="139"/>
      <c r="C120" s="139"/>
      <c r="D120" s="139"/>
      <c r="E120" s="139"/>
      <c r="F120" s="139"/>
      <c r="G120" s="139"/>
      <c r="H120" s="139"/>
      <c r="I120" s="140"/>
      <c r="J120" s="41">
        <f>SUM(J116:J119)</f>
        <v>389542913000</v>
      </c>
      <c r="K120" s="41">
        <f t="shared" ref="K120:L120" si="63">SUM(K116:K119)</f>
        <v>8972018568.8899994</v>
      </c>
      <c r="L120" s="41">
        <f t="shared" si="63"/>
        <v>9012022780.8899994</v>
      </c>
      <c r="M120" s="41">
        <f>SUM(M116:M119)</f>
        <v>389542913000</v>
      </c>
      <c r="N120" s="41">
        <f>SUM(N116:N119)</f>
        <v>29515700000</v>
      </c>
      <c r="O120" s="41">
        <f>SUM(O116:O119)</f>
        <v>234235518564.39001</v>
      </c>
      <c r="P120" s="41">
        <f>SUM(P116:P119)</f>
        <v>125791694435.61</v>
      </c>
      <c r="Q120" s="41">
        <f>SUM(Q116:Q119)</f>
        <v>227554656173.39001</v>
      </c>
      <c r="R120" s="43">
        <f>IF(Q120&gt;1,Q120/(M120),0)</f>
        <v>0.58415812117056798</v>
      </c>
      <c r="S120" s="41">
        <f>SUM(S116:S119)</f>
        <v>212764648681.51999</v>
      </c>
      <c r="T120" s="52">
        <f>SUM(T116:T119)</f>
        <v>212529609731.51999</v>
      </c>
    </row>
    <row r="121" spans="1:21" s="6" customFormat="1" ht="18.75" customHeight="1" thickBot="1" x14ac:dyDescent="0.3">
      <c r="A121" s="129" t="s">
        <v>31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1"/>
    </row>
    <row r="122" spans="1:21" s="6" customFormat="1" ht="24.75" customHeight="1" x14ac:dyDescent="0.25">
      <c r="A122" s="90" t="s">
        <v>18</v>
      </c>
      <c r="B122" s="11">
        <v>2901</v>
      </c>
      <c r="C122" s="11"/>
      <c r="D122" s="11"/>
      <c r="E122" s="11"/>
      <c r="F122" s="11"/>
      <c r="G122" s="12" t="s">
        <v>99</v>
      </c>
      <c r="H122" s="11" t="s">
        <v>5</v>
      </c>
      <c r="I122" s="13">
        <v>10</v>
      </c>
      <c r="J122" s="24">
        <f>J124+J126+J128+J132+J136+J145+J149+J140</f>
        <v>60058296000</v>
      </c>
      <c r="K122" s="24">
        <f t="shared" ref="K122:Q122" si="64">K124+K126+K128+K132+K136+K145+K149+K140</f>
        <v>65000000</v>
      </c>
      <c r="L122" s="24">
        <f t="shared" si="64"/>
        <v>65000000</v>
      </c>
      <c r="M122" s="24">
        <f t="shared" si="64"/>
        <v>60058296000</v>
      </c>
      <c r="N122" s="14">
        <f t="shared" si="64"/>
        <v>0</v>
      </c>
      <c r="O122" s="88">
        <f t="shared" si="64"/>
        <v>53871140118.709999</v>
      </c>
      <c r="P122" s="24">
        <f t="shared" si="64"/>
        <v>6187155881.289999</v>
      </c>
      <c r="Q122" s="14">
        <f t="shared" si="64"/>
        <v>41038230661.709999</v>
      </c>
      <c r="R122" s="26">
        <f t="shared" ref="R122:R180" si="65">IF(Q122&gt;1,Q122/(M122),0)</f>
        <v>0.68330661032590734</v>
      </c>
      <c r="S122" s="14">
        <f t="shared" ref="S122" si="66">S124+S126+S128+S132+S136+S145+S149+S140</f>
        <v>7566210948.4300003</v>
      </c>
      <c r="T122" s="22">
        <f>T124+T126+T128+T132+T136+T145+T149+T140</f>
        <v>7529668400.4300003</v>
      </c>
    </row>
    <row r="123" spans="1:21" ht="33" customHeight="1" x14ac:dyDescent="0.25">
      <c r="A123" s="90" t="s">
        <v>18</v>
      </c>
      <c r="B123" s="11">
        <v>2901</v>
      </c>
      <c r="C123" s="11"/>
      <c r="D123" s="11"/>
      <c r="E123" s="11"/>
      <c r="F123" s="11"/>
      <c r="G123" s="12" t="s">
        <v>99</v>
      </c>
      <c r="H123" s="11" t="s">
        <v>8</v>
      </c>
      <c r="I123" s="13">
        <v>21</v>
      </c>
      <c r="J123" s="14">
        <f>J133+J141</f>
        <v>1194647000</v>
      </c>
      <c r="K123" s="14">
        <f t="shared" ref="K123:Q123" si="67">K133+K141</f>
        <v>0</v>
      </c>
      <c r="L123" s="24">
        <f t="shared" si="67"/>
        <v>0</v>
      </c>
      <c r="M123" s="24">
        <f t="shared" si="67"/>
        <v>1194647000</v>
      </c>
      <c r="N123" s="14">
        <f t="shared" si="67"/>
        <v>0</v>
      </c>
      <c r="O123" s="14">
        <f t="shared" si="67"/>
        <v>1194647000</v>
      </c>
      <c r="P123" s="24">
        <f t="shared" si="67"/>
        <v>0</v>
      </c>
      <c r="Q123" s="14">
        <f t="shared" si="67"/>
        <v>1194647000</v>
      </c>
      <c r="R123" s="26">
        <f t="shared" si="65"/>
        <v>1</v>
      </c>
      <c r="S123" s="14">
        <f>S133+S141</f>
        <v>0</v>
      </c>
      <c r="T123" s="22">
        <f>T133+T141</f>
        <v>0</v>
      </c>
    </row>
    <row r="124" spans="1:21" ht="33" customHeight="1" x14ac:dyDescent="0.25">
      <c r="A124" s="95" t="s">
        <v>18</v>
      </c>
      <c r="B124" s="98" t="s">
        <v>89</v>
      </c>
      <c r="C124" s="98" t="s">
        <v>90</v>
      </c>
      <c r="D124" s="98" t="s">
        <v>91</v>
      </c>
      <c r="E124" s="11"/>
      <c r="F124" s="11"/>
      <c r="G124" s="12" t="s">
        <v>195</v>
      </c>
      <c r="H124" s="98" t="s">
        <v>5</v>
      </c>
      <c r="I124" s="99">
        <v>10</v>
      </c>
      <c r="J124" s="14">
        <f>J125</f>
        <v>11474400000</v>
      </c>
      <c r="K124" s="14">
        <f t="shared" ref="K124:N124" si="68">K125</f>
        <v>0</v>
      </c>
      <c r="L124" s="24">
        <f t="shared" si="68"/>
        <v>0</v>
      </c>
      <c r="M124" s="24">
        <f>M125</f>
        <v>11474400000</v>
      </c>
      <c r="N124" s="14">
        <f t="shared" si="68"/>
        <v>0</v>
      </c>
      <c r="O124" s="14">
        <f>O125</f>
        <v>10826572601.450001</v>
      </c>
      <c r="P124" s="24">
        <f>P125</f>
        <v>647827398.54999924</v>
      </c>
      <c r="Q124" s="14">
        <f>Q125</f>
        <v>9711035427.4500008</v>
      </c>
      <c r="R124" s="26">
        <f t="shared" si="65"/>
        <v>0.84632184928623722</v>
      </c>
      <c r="S124" s="14">
        <f>S125</f>
        <v>1591352096.47</v>
      </c>
      <c r="T124" s="22">
        <f>T125</f>
        <v>1591352096.47</v>
      </c>
    </row>
    <row r="125" spans="1:21" ht="50.25" customHeight="1" x14ac:dyDescent="0.25">
      <c r="A125" s="94" t="s">
        <v>18</v>
      </c>
      <c r="B125" s="56" t="s">
        <v>89</v>
      </c>
      <c r="C125" s="56" t="s">
        <v>90</v>
      </c>
      <c r="D125" s="56" t="s">
        <v>91</v>
      </c>
      <c r="E125" s="56" t="s">
        <v>218</v>
      </c>
      <c r="F125" s="56" t="s">
        <v>150</v>
      </c>
      <c r="G125" s="23" t="s">
        <v>168</v>
      </c>
      <c r="H125" s="56" t="s">
        <v>5</v>
      </c>
      <c r="I125" s="57">
        <v>10</v>
      </c>
      <c r="J125" s="44">
        <v>11474400000</v>
      </c>
      <c r="K125" s="44">
        <v>0</v>
      </c>
      <c r="L125" s="44"/>
      <c r="M125" s="44">
        <f>J125+K125-L125</f>
        <v>11474400000</v>
      </c>
      <c r="N125" s="44">
        <v>0</v>
      </c>
      <c r="O125" s="44">
        <v>10826572601.450001</v>
      </c>
      <c r="P125" s="44">
        <f t="shared" ref="P125:P150" si="69">+M125-O125-N125</f>
        <v>647827398.54999924</v>
      </c>
      <c r="Q125" s="58">
        <v>9711035427.4500008</v>
      </c>
      <c r="R125" s="25">
        <f t="shared" si="65"/>
        <v>0.84632184928623722</v>
      </c>
      <c r="S125" s="58">
        <v>1591352096.47</v>
      </c>
      <c r="T125" s="59">
        <v>1591352096.47</v>
      </c>
    </row>
    <row r="126" spans="1:21" ht="50.25" customHeight="1" x14ac:dyDescent="0.25">
      <c r="A126" s="95" t="s">
        <v>18</v>
      </c>
      <c r="B126" s="98" t="s">
        <v>89</v>
      </c>
      <c r="C126" s="98" t="s">
        <v>90</v>
      </c>
      <c r="D126" s="98" t="s">
        <v>6</v>
      </c>
      <c r="E126" s="98"/>
      <c r="F126" s="98"/>
      <c r="G126" s="12" t="s">
        <v>196</v>
      </c>
      <c r="H126" s="98" t="s">
        <v>5</v>
      </c>
      <c r="I126" s="99">
        <v>10</v>
      </c>
      <c r="J126" s="48">
        <f>J127</f>
        <v>300000000</v>
      </c>
      <c r="K126" s="48">
        <f t="shared" ref="K126:L126" si="70">K127</f>
        <v>0</v>
      </c>
      <c r="L126" s="48">
        <f t="shared" si="70"/>
        <v>0</v>
      </c>
      <c r="M126" s="48">
        <f>M127</f>
        <v>300000000</v>
      </c>
      <c r="N126" s="48">
        <f t="shared" ref="N126:T126" si="71">N127</f>
        <v>0</v>
      </c>
      <c r="O126" s="48">
        <f>O127</f>
        <v>225508466</v>
      </c>
      <c r="P126" s="48">
        <f>P127</f>
        <v>74491534</v>
      </c>
      <c r="Q126" s="100">
        <f t="shared" si="71"/>
        <v>225508466</v>
      </c>
      <c r="R126" s="26">
        <f t="shared" si="65"/>
        <v>0.75169488666666662</v>
      </c>
      <c r="S126" s="100">
        <f t="shared" si="71"/>
        <v>72165638</v>
      </c>
      <c r="T126" s="101">
        <f t="shared" si="71"/>
        <v>72165638</v>
      </c>
    </row>
    <row r="127" spans="1:21" ht="46.5" customHeight="1" x14ac:dyDescent="0.25">
      <c r="A127" s="94" t="s">
        <v>18</v>
      </c>
      <c r="B127" s="56" t="s">
        <v>89</v>
      </c>
      <c r="C127" s="56" t="s">
        <v>90</v>
      </c>
      <c r="D127" s="56" t="s">
        <v>6</v>
      </c>
      <c r="E127" s="56" t="s">
        <v>218</v>
      </c>
      <c r="F127" s="56" t="s">
        <v>151</v>
      </c>
      <c r="G127" s="23" t="s">
        <v>169</v>
      </c>
      <c r="H127" s="56" t="s">
        <v>5</v>
      </c>
      <c r="I127" s="57">
        <v>10</v>
      </c>
      <c r="J127" s="58">
        <v>300000000</v>
      </c>
      <c r="K127" s="44">
        <v>0</v>
      </c>
      <c r="L127" s="44"/>
      <c r="M127" s="44">
        <f t="shared" ref="M127:M153" si="72">J127+K127-L127</f>
        <v>300000000</v>
      </c>
      <c r="N127" s="113">
        <v>0</v>
      </c>
      <c r="O127" s="44">
        <v>225508466</v>
      </c>
      <c r="P127" s="44">
        <f t="shared" si="69"/>
        <v>74491534</v>
      </c>
      <c r="Q127" s="58">
        <v>225508466</v>
      </c>
      <c r="R127" s="25">
        <f t="shared" si="65"/>
        <v>0.75169488666666662</v>
      </c>
      <c r="S127" s="58">
        <v>72165638</v>
      </c>
      <c r="T127" s="59">
        <v>72165638</v>
      </c>
    </row>
    <row r="128" spans="1:21" s="102" customFormat="1" ht="51.75" customHeight="1" x14ac:dyDescent="0.25">
      <c r="A128" s="95" t="s">
        <v>18</v>
      </c>
      <c r="B128" s="98" t="s">
        <v>89</v>
      </c>
      <c r="C128" s="98" t="s">
        <v>90</v>
      </c>
      <c r="D128" s="98" t="s">
        <v>7</v>
      </c>
      <c r="E128" s="98"/>
      <c r="F128" s="98"/>
      <c r="G128" s="12" t="s">
        <v>211</v>
      </c>
      <c r="H128" s="98" t="s">
        <v>5</v>
      </c>
      <c r="I128" s="99">
        <v>10</v>
      </c>
      <c r="J128" s="100">
        <f>J129+J130+J131</f>
        <v>4994096000</v>
      </c>
      <c r="K128" s="48">
        <f t="shared" ref="K128:N128" si="73">K129+K130+K131</f>
        <v>0</v>
      </c>
      <c r="L128" s="48">
        <f t="shared" si="73"/>
        <v>0</v>
      </c>
      <c r="M128" s="48">
        <f>M129+M130+M131</f>
        <v>4994096000</v>
      </c>
      <c r="N128" s="48">
        <f t="shared" si="73"/>
        <v>0</v>
      </c>
      <c r="O128" s="48">
        <f>O129+O130+O131</f>
        <v>4045281914</v>
      </c>
      <c r="P128" s="48">
        <f>P129+P130+P131</f>
        <v>948814086</v>
      </c>
      <c r="Q128" s="48">
        <f>Q129+Q130+Q131</f>
        <v>2969190023</v>
      </c>
      <c r="R128" s="26">
        <f t="shared" si="65"/>
        <v>0.59454003747625195</v>
      </c>
      <c r="S128" s="48">
        <f>S129+S130+S131</f>
        <v>1078347346</v>
      </c>
      <c r="T128" s="101">
        <f>T129+T130+T131</f>
        <v>1065083935</v>
      </c>
    </row>
    <row r="129" spans="1:20" ht="65.25" customHeight="1" x14ac:dyDescent="0.25">
      <c r="A129" s="94" t="s">
        <v>18</v>
      </c>
      <c r="B129" s="56" t="s">
        <v>89</v>
      </c>
      <c r="C129" s="56" t="s">
        <v>90</v>
      </c>
      <c r="D129" s="56" t="s">
        <v>7</v>
      </c>
      <c r="E129" s="56" t="s">
        <v>219</v>
      </c>
      <c r="F129" s="56" t="s">
        <v>152</v>
      </c>
      <c r="G129" s="23" t="s">
        <v>170</v>
      </c>
      <c r="H129" s="56" t="s">
        <v>5</v>
      </c>
      <c r="I129" s="57">
        <v>10</v>
      </c>
      <c r="J129" s="44">
        <v>1818315235</v>
      </c>
      <c r="K129" s="44">
        <v>0</v>
      </c>
      <c r="L129" s="44"/>
      <c r="M129" s="44">
        <f t="shared" si="72"/>
        <v>1818315235</v>
      </c>
      <c r="N129" s="44">
        <v>0</v>
      </c>
      <c r="O129" s="44">
        <v>1815916773</v>
      </c>
      <c r="P129" s="44">
        <f t="shared" si="69"/>
        <v>2398462</v>
      </c>
      <c r="Q129" s="58">
        <v>739824882</v>
      </c>
      <c r="R129" s="25">
        <f t="shared" si="65"/>
        <v>0.4068738290035831</v>
      </c>
      <c r="S129" s="58">
        <v>0</v>
      </c>
      <c r="T129" s="59">
        <v>0</v>
      </c>
    </row>
    <row r="130" spans="1:20" ht="76.5" customHeight="1" x14ac:dyDescent="0.25">
      <c r="A130" s="94" t="s">
        <v>18</v>
      </c>
      <c r="B130" s="56" t="s">
        <v>89</v>
      </c>
      <c r="C130" s="56" t="s">
        <v>90</v>
      </c>
      <c r="D130" s="56" t="s">
        <v>7</v>
      </c>
      <c r="E130" s="56" t="s">
        <v>219</v>
      </c>
      <c r="F130" s="56" t="s">
        <v>153</v>
      </c>
      <c r="G130" s="23" t="s">
        <v>171</v>
      </c>
      <c r="H130" s="56" t="s">
        <v>5</v>
      </c>
      <c r="I130" s="57">
        <v>10</v>
      </c>
      <c r="J130" s="44">
        <v>2064577180</v>
      </c>
      <c r="K130" s="44"/>
      <c r="L130" s="44">
        <v>0</v>
      </c>
      <c r="M130" s="44">
        <f t="shared" si="72"/>
        <v>2064577180</v>
      </c>
      <c r="N130" s="44">
        <v>0</v>
      </c>
      <c r="O130" s="44">
        <v>2006093134</v>
      </c>
      <c r="P130" s="44">
        <f t="shared" ref="P130:P131" si="74">+M130-O130-N130</f>
        <v>58484046</v>
      </c>
      <c r="Q130" s="58">
        <v>2006093134</v>
      </c>
      <c r="R130" s="25">
        <f t="shared" si="65"/>
        <v>0.97167262790340436</v>
      </c>
      <c r="S130" s="58">
        <v>981557419</v>
      </c>
      <c r="T130" s="59">
        <v>968294008</v>
      </c>
    </row>
    <row r="131" spans="1:20" ht="63.75" customHeight="1" x14ac:dyDescent="0.25">
      <c r="A131" s="94" t="s">
        <v>18</v>
      </c>
      <c r="B131" s="56" t="s">
        <v>89</v>
      </c>
      <c r="C131" s="56" t="s">
        <v>90</v>
      </c>
      <c r="D131" s="56" t="s">
        <v>7</v>
      </c>
      <c r="E131" s="56" t="s">
        <v>219</v>
      </c>
      <c r="F131" s="56" t="s">
        <v>154</v>
      </c>
      <c r="G131" s="23" t="s">
        <v>172</v>
      </c>
      <c r="H131" s="56" t="s">
        <v>5</v>
      </c>
      <c r="I131" s="57">
        <v>10</v>
      </c>
      <c r="J131" s="44">
        <v>1111203585</v>
      </c>
      <c r="K131" s="44">
        <v>0</v>
      </c>
      <c r="L131" s="44">
        <v>0</v>
      </c>
      <c r="M131" s="44">
        <f t="shared" si="72"/>
        <v>1111203585</v>
      </c>
      <c r="N131" s="44">
        <v>0</v>
      </c>
      <c r="O131" s="44">
        <v>223272007</v>
      </c>
      <c r="P131" s="44">
        <f t="shared" si="74"/>
        <v>887931578</v>
      </c>
      <c r="Q131" s="58">
        <v>223272007</v>
      </c>
      <c r="R131" s="25">
        <f t="shared" si="65"/>
        <v>0.20092808375883706</v>
      </c>
      <c r="S131" s="58">
        <v>96789927</v>
      </c>
      <c r="T131" s="59">
        <v>96789927</v>
      </c>
    </row>
    <row r="132" spans="1:20" ht="49.5" customHeight="1" x14ac:dyDescent="0.25">
      <c r="A132" s="95" t="s">
        <v>18</v>
      </c>
      <c r="B132" s="98" t="s">
        <v>89</v>
      </c>
      <c r="C132" s="98" t="s">
        <v>90</v>
      </c>
      <c r="D132" s="98" t="s">
        <v>92</v>
      </c>
      <c r="E132" s="98"/>
      <c r="F132" s="98"/>
      <c r="G132" s="12" t="s">
        <v>197</v>
      </c>
      <c r="H132" s="98" t="s">
        <v>5</v>
      </c>
      <c r="I132" s="99">
        <v>10</v>
      </c>
      <c r="J132" s="48">
        <f>J134</f>
        <v>4917600000</v>
      </c>
      <c r="K132" s="48">
        <f t="shared" ref="K132:T132" si="75">K134</f>
        <v>0</v>
      </c>
      <c r="L132" s="48">
        <f t="shared" si="75"/>
        <v>0</v>
      </c>
      <c r="M132" s="48">
        <f>M134</f>
        <v>4917600000</v>
      </c>
      <c r="N132" s="48">
        <f t="shared" si="75"/>
        <v>0</v>
      </c>
      <c r="O132" s="48">
        <f t="shared" si="75"/>
        <v>4914118312</v>
      </c>
      <c r="P132" s="48">
        <f>P134</f>
        <v>3481688</v>
      </c>
      <c r="Q132" s="48">
        <f t="shared" si="75"/>
        <v>4776920454</v>
      </c>
      <c r="R132" s="26">
        <f t="shared" si="65"/>
        <v>0.97139264153245486</v>
      </c>
      <c r="S132" s="100">
        <f t="shared" si="75"/>
        <v>1568583356</v>
      </c>
      <c r="T132" s="101">
        <f t="shared" si="75"/>
        <v>1568583356</v>
      </c>
    </row>
    <row r="133" spans="1:20" ht="49.5" customHeight="1" x14ac:dyDescent="0.25">
      <c r="A133" s="95" t="s">
        <v>18</v>
      </c>
      <c r="B133" s="98" t="s">
        <v>89</v>
      </c>
      <c r="C133" s="98" t="s">
        <v>90</v>
      </c>
      <c r="D133" s="98" t="s">
        <v>92</v>
      </c>
      <c r="E133" s="98"/>
      <c r="F133" s="98"/>
      <c r="G133" s="12" t="s">
        <v>197</v>
      </c>
      <c r="H133" s="98" t="s">
        <v>8</v>
      </c>
      <c r="I133" s="99">
        <v>21</v>
      </c>
      <c r="J133" s="48">
        <f>J135</f>
        <v>2880000</v>
      </c>
      <c r="K133" s="48">
        <f t="shared" ref="K133:T133" si="76">K135</f>
        <v>0</v>
      </c>
      <c r="L133" s="48">
        <f t="shared" si="76"/>
        <v>0</v>
      </c>
      <c r="M133" s="48">
        <f t="shared" si="76"/>
        <v>2880000</v>
      </c>
      <c r="N133" s="48">
        <f t="shared" si="76"/>
        <v>0</v>
      </c>
      <c r="O133" s="48">
        <f t="shared" si="76"/>
        <v>2880000</v>
      </c>
      <c r="P133" s="48">
        <f>P135</f>
        <v>0</v>
      </c>
      <c r="Q133" s="100">
        <f t="shared" si="76"/>
        <v>2880000</v>
      </c>
      <c r="R133" s="26">
        <f t="shared" si="65"/>
        <v>1</v>
      </c>
      <c r="S133" s="100">
        <f t="shared" si="76"/>
        <v>0</v>
      </c>
      <c r="T133" s="101">
        <f t="shared" si="76"/>
        <v>0</v>
      </c>
    </row>
    <row r="134" spans="1:20" ht="33.75" customHeight="1" x14ac:dyDescent="0.25">
      <c r="A134" s="94" t="s">
        <v>18</v>
      </c>
      <c r="B134" s="56" t="s">
        <v>89</v>
      </c>
      <c r="C134" s="56" t="s">
        <v>90</v>
      </c>
      <c r="D134" s="56" t="s">
        <v>92</v>
      </c>
      <c r="E134" s="56" t="s">
        <v>144</v>
      </c>
      <c r="F134" s="56" t="s">
        <v>148</v>
      </c>
      <c r="G134" s="23" t="s">
        <v>173</v>
      </c>
      <c r="H134" s="56" t="s">
        <v>5</v>
      </c>
      <c r="I134" s="57">
        <v>10</v>
      </c>
      <c r="J134" s="58">
        <v>4917600000</v>
      </c>
      <c r="K134" s="58">
        <v>0</v>
      </c>
      <c r="L134" s="44">
        <v>0</v>
      </c>
      <c r="M134" s="44">
        <f t="shared" si="72"/>
        <v>4917600000</v>
      </c>
      <c r="N134" s="44">
        <v>0</v>
      </c>
      <c r="O134" s="44">
        <v>4914118312</v>
      </c>
      <c r="P134" s="44">
        <f t="shared" si="69"/>
        <v>3481688</v>
      </c>
      <c r="Q134" s="58">
        <v>4776920454</v>
      </c>
      <c r="R134" s="25">
        <f t="shared" si="65"/>
        <v>0.97139264153245486</v>
      </c>
      <c r="S134" s="58">
        <v>1568583356</v>
      </c>
      <c r="T134" s="59">
        <v>1568583356</v>
      </c>
    </row>
    <row r="135" spans="1:20" ht="41.25" customHeight="1" x14ac:dyDescent="0.25">
      <c r="A135" s="94" t="s">
        <v>18</v>
      </c>
      <c r="B135" s="56" t="s">
        <v>89</v>
      </c>
      <c r="C135" s="56" t="s">
        <v>90</v>
      </c>
      <c r="D135" s="56" t="s">
        <v>92</v>
      </c>
      <c r="E135" s="56" t="s">
        <v>144</v>
      </c>
      <c r="F135" s="56" t="s">
        <v>149</v>
      </c>
      <c r="G135" s="23" t="s">
        <v>174</v>
      </c>
      <c r="H135" s="56" t="s">
        <v>8</v>
      </c>
      <c r="I135" s="57">
        <v>21</v>
      </c>
      <c r="J135" s="58">
        <v>2880000</v>
      </c>
      <c r="K135" s="58">
        <v>0</v>
      </c>
      <c r="L135" s="44">
        <v>0</v>
      </c>
      <c r="M135" s="44">
        <f t="shared" si="72"/>
        <v>2880000</v>
      </c>
      <c r="N135" s="44">
        <v>0</v>
      </c>
      <c r="O135" s="44">
        <v>2880000</v>
      </c>
      <c r="P135" s="44">
        <f t="shared" si="69"/>
        <v>0</v>
      </c>
      <c r="Q135" s="58">
        <v>2880000</v>
      </c>
      <c r="R135" s="25">
        <f t="shared" si="65"/>
        <v>1</v>
      </c>
      <c r="S135" s="58">
        <v>0</v>
      </c>
      <c r="T135" s="59">
        <v>0</v>
      </c>
    </row>
    <row r="136" spans="1:20" ht="51.75" customHeight="1" x14ac:dyDescent="0.25">
      <c r="A136" s="95" t="s">
        <v>18</v>
      </c>
      <c r="B136" s="98" t="s">
        <v>89</v>
      </c>
      <c r="C136" s="98" t="s">
        <v>90</v>
      </c>
      <c r="D136" s="98" t="s">
        <v>93</v>
      </c>
      <c r="E136" s="98"/>
      <c r="F136" s="98"/>
      <c r="G136" s="12" t="s">
        <v>198</v>
      </c>
      <c r="H136" s="98" t="s">
        <v>5</v>
      </c>
      <c r="I136" s="99">
        <v>10</v>
      </c>
      <c r="J136" s="100">
        <f>J137+J138+J139</f>
        <v>4764608000</v>
      </c>
      <c r="K136" s="100">
        <f>K137+K138+K139</f>
        <v>0</v>
      </c>
      <c r="L136" s="48">
        <f>L137+L138+L139</f>
        <v>0</v>
      </c>
      <c r="M136" s="48">
        <f t="shared" ref="M136:T136" si="77">M137+M138+M139</f>
        <v>4764608000</v>
      </c>
      <c r="N136" s="48">
        <f t="shared" si="77"/>
        <v>0</v>
      </c>
      <c r="O136" s="48">
        <f t="shared" si="77"/>
        <v>4182728348</v>
      </c>
      <c r="P136" s="48">
        <f>P137+P138+P139</f>
        <v>581879652</v>
      </c>
      <c r="Q136" s="100">
        <f t="shared" si="77"/>
        <v>4182728348</v>
      </c>
      <c r="R136" s="26">
        <f t="shared" si="65"/>
        <v>0.87787460122637584</v>
      </c>
      <c r="S136" s="100">
        <f t="shared" si="77"/>
        <v>1525950819</v>
      </c>
      <c r="T136" s="101">
        <f t="shared" si="77"/>
        <v>1525950819</v>
      </c>
    </row>
    <row r="137" spans="1:20" ht="58.5" customHeight="1" x14ac:dyDescent="0.25">
      <c r="A137" s="94" t="s">
        <v>18</v>
      </c>
      <c r="B137" s="56" t="s">
        <v>89</v>
      </c>
      <c r="C137" s="56" t="s">
        <v>90</v>
      </c>
      <c r="D137" s="56" t="s">
        <v>93</v>
      </c>
      <c r="E137" s="56" t="s">
        <v>220</v>
      </c>
      <c r="F137" s="56" t="s">
        <v>155</v>
      </c>
      <c r="G137" s="23" t="s">
        <v>175</v>
      </c>
      <c r="H137" s="56" t="s">
        <v>5</v>
      </c>
      <c r="I137" s="57">
        <v>10</v>
      </c>
      <c r="J137" s="44">
        <v>3205330979</v>
      </c>
      <c r="K137" s="44"/>
      <c r="L137" s="44">
        <v>0</v>
      </c>
      <c r="M137" s="44">
        <f t="shared" si="72"/>
        <v>3205330979</v>
      </c>
      <c r="N137" s="44">
        <v>0</v>
      </c>
      <c r="O137" s="44">
        <v>3205330948</v>
      </c>
      <c r="P137" s="44">
        <f t="shared" si="69"/>
        <v>31</v>
      </c>
      <c r="Q137" s="58">
        <v>3205330948</v>
      </c>
      <c r="R137" s="25">
        <f t="shared" si="65"/>
        <v>0.99999999032861187</v>
      </c>
      <c r="S137" s="58">
        <v>1525950819</v>
      </c>
      <c r="T137" s="59">
        <v>1525950819</v>
      </c>
    </row>
    <row r="138" spans="1:20" ht="57.75" customHeight="1" x14ac:dyDescent="0.25">
      <c r="A138" s="94" t="s">
        <v>18</v>
      </c>
      <c r="B138" s="56" t="s">
        <v>89</v>
      </c>
      <c r="C138" s="56" t="s">
        <v>90</v>
      </c>
      <c r="D138" s="56" t="s">
        <v>93</v>
      </c>
      <c r="E138" s="56" t="s">
        <v>220</v>
      </c>
      <c r="F138" s="56" t="s">
        <v>156</v>
      </c>
      <c r="G138" s="23" t="s">
        <v>176</v>
      </c>
      <c r="H138" s="56" t="s">
        <v>5</v>
      </c>
      <c r="I138" s="57">
        <v>10</v>
      </c>
      <c r="J138" s="44">
        <v>1323487621</v>
      </c>
      <c r="K138" s="44">
        <v>0</v>
      </c>
      <c r="L138" s="44"/>
      <c r="M138" s="44">
        <f t="shared" si="72"/>
        <v>1323487621</v>
      </c>
      <c r="N138" s="44">
        <v>0</v>
      </c>
      <c r="O138" s="44">
        <v>741608000</v>
      </c>
      <c r="P138" s="44">
        <f t="shared" ref="P138:P139" si="78">+M138-O138-N138</f>
        <v>581879621</v>
      </c>
      <c r="Q138" s="58">
        <v>741608000</v>
      </c>
      <c r="R138" s="25">
        <f t="shared" si="65"/>
        <v>0.56034373743492683</v>
      </c>
      <c r="S138" s="58">
        <v>0</v>
      </c>
      <c r="T138" s="59">
        <v>0</v>
      </c>
    </row>
    <row r="139" spans="1:20" ht="57" customHeight="1" x14ac:dyDescent="0.25">
      <c r="A139" s="94" t="s">
        <v>18</v>
      </c>
      <c r="B139" s="56" t="s">
        <v>89</v>
      </c>
      <c r="C139" s="56" t="s">
        <v>90</v>
      </c>
      <c r="D139" s="56" t="s">
        <v>93</v>
      </c>
      <c r="E139" s="56" t="s">
        <v>220</v>
      </c>
      <c r="F139" s="56" t="s">
        <v>157</v>
      </c>
      <c r="G139" s="23" t="s">
        <v>177</v>
      </c>
      <c r="H139" s="56" t="s">
        <v>5</v>
      </c>
      <c r="I139" s="57">
        <v>10</v>
      </c>
      <c r="J139" s="44">
        <v>235789400</v>
      </c>
      <c r="K139" s="44">
        <v>0</v>
      </c>
      <c r="L139" s="44"/>
      <c r="M139" s="44">
        <f t="shared" si="72"/>
        <v>235789400</v>
      </c>
      <c r="N139" s="44">
        <v>0</v>
      </c>
      <c r="O139" s="44">
        <v>235789400</v>
      </c>
      <c r="P139" s="44">
        <f t="shared" si="78"/>
        <v>0</v>
      </c>
      <c r="Q139" s="58">
        <v>235789400</v>
      </c>
      <c r="R139" s="25">
        <f t="shared" si="65"/>
        <v>1</v>
      </c>
      <c r="S139" s="58">
        <v>0</v>
      </c>
      <c r="T139" s="59">
        <v>0</v>
      </c>
    </row>
    <row r="140" spans="1:20" ht="48" customHeight="1" x14ac:dyDescent="0.25">
      <c r="A140" s="95" t="s">
        <v>18</v>
      </c>
      <c r="B140" s="98" t="s">
        <v>89</v>
      </c>
      <c r="C140" s="98" t="s">
        <v>90</v>
      </c>
      <c r="D140" s="98" t="s">
        <v>94</v>
      </c>
      <c r="E140" s="98"/>
      <c r="F140" s="98"/>
      <c r="G140" s="12" t="s">
        <v>199</v>
      </c>
      <c r="H140" s="98" t="s">
        <v>5</v>
      </c>
      <c r="I140" s="99">
        <v>10</v>
      </c>
      <c r="J140" s="48">
        <f>J142+J143</f>
        <v>9851592000</v>
      </c>
      <c r="K140" s="48">
        <f t="shared" ref="K140:Q140" si="79">K142+K143</f>
        <v>0</v>
      </c>
      <c r="L140" s="48">
        <f t="shared" si="79"/>
        <v>0</v>
      </c>
      <c r="M140" s="48">
        <f t="shared" si="79"/>
        <v>9851592000</v>
      </c>
      <c r="N140" s="48">
        <f t="shared" si="79"/>
        <v>0</v>
      </c>
      <c r="O140" s="48">
        <f t="shared" si="79"/>
        <v>8360166296.5599995</v>
      </c>
      <c r="P140" s="48">
        <f t="shared" si="79"/>
        <v>1491425703.4400001</v>
      </c>
      <c r="Q140" s="100">
        <f t="shared" si="79"/>
        <v>6279903329.5599995</v>
      </c>
      <c r="R140" s="26">
        <f t="shared" si="65"/>
        <v>0.63745060996841929</v>
      </c>
      <c r="S140" s="100">
        <f t="shared" ref="S140:T140" si="80">S142+S143</f>
        <v>345563773.95999998</v>
      </c>
      <c r="T140" s="101">
        <f t="shared" si="80"/>
        <v>345563773.95999998</v>
      </c>
    </row>
    <row r="141" spans="1:20" ht="46.5" customHeight="1" x14ac:dyDescent="0.25">
      <c r="A141" s="95" t="s">
        <v>18</v>
      </c>
      <c r="B141" s="98" t="s">
        <v>89</v>
      </c>
      <c r="C141" s="98" t="s">
        <v>90</v>
      </c>
      <c r="D141" s="98" t="s">
        <v>94</v>
      </c>
      <c r="E141" s="98"/>
      <c r="F141" s="98"/>
      <c r="G141" s="117" t="s">
        <v>199</v>
      </c>
      <c r="H141" s="98" t="s">
        <v>5</v>
      </c>
      <c r="I141" s="99">
        <v>21</v>
      </c>
      <c r="J141" s="100">
        <f>J144</f>
        <v>1191767000</v>
      </c>
      <c r="K141" s="100">
        <f t="shared" ref="K141:Q141" si="81">K144</f>
        <v>0</v>
      </c>
      <c r="L141" s="48">
        <f t="shared" si="81"/>
        <v>0</v>
      </c>
      <c r="M141" s="48">
        <f t="shared" si="81"/>
        <v>1191767000</v>
      </c>
      <c r="N141" s="48">
        <f t="shared" si="81"/>
        <v>0</v>
      </c>
      <c r="O141" s="48">
        <f t="shared" si="81"/>
        <v>1191767000</v>
      </c>
      <c r="P141" s="48">
        <f t="shared" si="81"/>
        <v>0</v>
      </c>
      <c r="Q141" s="100">
        <f t="shared" si="81"/>
        <v>1191767000</v>
      </c>
      <c r="R141" s="26">
        <f t="shared" si="65"/>
        <v>1</v>
      </c>
      <c r="S141" s="100">
        <f t="shared" ref="S141:T141" si="82">S144</f>
        <v>0</v>
      </c>
      <c r="T141" s="101">
        <f t="shared" si="82"/>
        <v>0</v>
      </c>
    </row>
    <row r="142" spans="1:20" ht="46.5" customHeight="1" x14ac:dyDescent="0.25">
      <c r="A142" s="94" t="s">
        <v>18</v>
      </c>
      <c r="B142" s="56" t="s">
        <v>89</v>
      </c>
      <c r="C142" s="56" t="s">
        <v>90</v>
      </c>
      <c r="D142" s="56" t="s">
        <v>94</v>
      </c>
      <c r="E142" s="56" t="s">
        <v>218</v>
      </c>
      <c r="F142" s="56" t="s">
        <v>158</v>
      </c>
      <c r="G142" s="23" t="s">
        <v>178</v>
      </c>
      <c r="H142" s="56" t="s">
        <v>5</v>
      </c>
      <c r="I142" s="57">
        <v>10</v>
      </c>
      <c r="J142" s="58">
        <v>4332952000</v>
      </c>
      <c r="K142" s="58">
        <v>0</v>
      </c>
      <c r="L142" s="44"/>
      <c r="M142" s="44">
        <f>J142+K142-L142</f>
        <v>4332952000</v>
      </c>
      <c r="N142" s="44">
        <v>0</v>
      </c>
      <c r="O142" s="44">
        <v>3982323427.8200002</v>
      </c>
      <c r="P142" s="44">
        <f>+M142-O142-N142</f>
        <v>350628572.17999983</v>
      </c>
      <c r="Q142" s="58">
        <v>3313810875.8200002</v>
      </c>
      <c r="R142" s="25">
        <f t="shared" si="65"/>
        <v>0.76479288850188054</v>
      </c>
      <c r="S142" s="58">
        <v>45815000</v>
      </c>
      <c r="T142" s="59">
        <v>45815000</v>
      </c>
    </row>
    <row r="143" spans="1:20" ht="41.25" customHeight="1" x14ac:dyDescent="0.25">
      <c r="A143" s="94" t="s">
        <v>18</v>
      </c>
      <c r="B143" s="56" t="s">
        <v>89</v>
      </c>
      <c r="C143" s="56" t="s">
        <v>90</v>
      </c>
      <c r="D143" s="56" t="s">
        <v>94</v>
      </c>
      <c r="E143" s="56" t="s">
        <v>218</v>
      </c>
      <c r="F143" s="56" t="s">
        <v>159</v>
      </c>
      <c r="G143" s="23" t="s">
        <v>179</v>
      </c>
      <c r="H143" s="56" t="s">
        <v>5</v>
      </c>
      <c r="I143" s="57">
        <v>10</v>
      </c>
      <c r="J143" s="44">
        <v>5518640000</v>
      </c>
      <c r="K143" s="44"/>
      <c r="L143" s="44"/>
      <c r="M143" s="44">
        <f>J143+K143-L143</f>
        <v>5518640000</v>
      </c>
      <c r="N143" s="44">
        <v>0</v>
      </c>
      <c r="O143" s="44">
        <v>4377842868.7399998</v>
      </c>
      <c r="P143" s="44">
        <f>+M143-O143-N143</f>
        <v>1140797131.2600002</v>
      </c>
      <c r="Q143" s="58">
        <v>2966092453.7399998</v>
      </c>
      <c r="R143" s="25">
        <f t="shared" si="65"/>
        <v>0.53746800910006809</v>
      </c>
      <c r="S143" s="58">
        <v>299748773.95999998</v>
      </c>
      <c r="T143" s="59">
        <v>299748773.95999998</v>
      </c>
    </row>
    <row r="144" spans="1:20" ht="41.25" customHeight="1" x14ac:dyDescent="0.25">
      <c r="A144" s="94" t="s">
        <v>18</v>
      </c>
      <c r="B144" s="56" t="s">
        <v>89</v>
      </c>
      <c r="C144" s="56" t="s">
        <v>90</v>
      </c>
      <c r="D144" s="56" t="s">
        <v>94</v>
      </c>
      <c r="E144" s="56" t="s">
        <v>218</v>
      </c>
      <c r="F144" s="56" t="s">
        <v>158</v>
      </c>
      <c r="G144" s="23" t="s">
        <v>178</v>
      </c>
      <c r="H144" s="56" t="s">
        <v>8</v>
      </c>
      <c r="I144" s="57">
        <v>21</v>
      </c>
      <c r="J144" s="44">
        <v>1191767000</v>
      </c>
      <c r="K144" s="44">
        <v>0</v>
      </c>
      <c r="L144" s="44"/>
      <c r="M144" s="44">
        <f t="shared" si="72"/>
        <v>1191767000</v>
      </c>
      <c r="N144" s="44">
        <v>0</v>
      </c>
      <c r="O144" s="44">
        <v>1191767000</v>
      </c>
      <c r="P144" s="44">
        <f t="shared" ref="P144" si="83">+M144-O144-N144</f>
        <v>0</v>
      </c>
      <c r="Q144" s="58">
        <v>1191767000</v>
      </c>
      <c r="R144" s="25">
        <f t="shared" si="65"/>
        <v>1</v>
      </c>
      <c r="S144" s="115">
        <v>0</v>
      </c>
      <c r="T144" s="59">
        <v>0</v>
      </c>
    </row>
    <row r="145" spans="1:20" s="102" customFormat="1" ht="41.25" customHeight="1" x14ac:dyDescent="0.25">
      <c r="A145" s="95" t="s">
        <v>18</v>
      </c>
      <c r="B145" s="98" t="s">
        <v>89</v>
      </c>
      <c r="C145" s="98" t="s">
        <v>90</v>
      </c>
      <c r="D145" s="98" t="s">
        <v>95</v>
      </c>
      <c r="E145" s="98"/>
      <c r="F145" s="98"/>
      <c r="G145" s="117" t="s">
        <v>212</v>
      </c>
      <c r="H145" s="98" t="s">
        <v>5</v>
      </c>
      <c r="I145" s="99">
        <v>10</v>
      </c>
      <c r="J145" s="48">
        <f>J146+J147+J148</f>
        <v>1900000000</v>
      </c>
      <c r="K145" s="48">
        <f>K146+K147+K148</f>
        <v>65000000</v>
      </c>
      <c r="L145" s="48">
        <f t="shared" ref="L145:T145" si="84">L146+L147+L148</f>
        <v>65000000</v>
      </c>
      <c r="M145" s="48">
        <f t="shared" si="84"/>
        <v>1900000000</v>
      </c>
      <c r="N145" s="48">
        <f t="shared" si="84"/>
        <v>0</v>
      </c>
      <c r="O145" s="48">
        <f t="shared" si="84"/>
        <v>1795655617</v>
      </c>
      <c r="P145" s="48">
        <f>P146+P147+P148</f>
        <v>104344383</v>
      </c>
      <c r="Q145" s="100">
        <f t="shared" si="84"/>
        <v>260000000</v>
      </c>
      <c r="R145" s="26">
        <f t="shared" si="65"/>
        <v>0.1368421052631579</v>
      </c>
      <c r="S145" s="100">
        <f t="shared" si="84"/>
        <v>0</v>
      </c>
      <c r="T145" s="101">
        <f t="shared" si="84"/>
        <v>0</v>
      </c>
    </row>
    <row r="146" spans="1:20" s="47" customFormat="1" ht="55.5" customHeight="1" x14ac:dyDescent="0.25">
      <c r="A146" s="94" t="s">
        <v>18</v>
      </c>
      <c r="B146" s="56" t="s">
        <v>89</v>
      </c>
      <c r="C146" s="56" t="s">
        <v>90</v>
      </c>
      <c r="D146" s="56" t="s">
        <v>95</v>
      </c>
      <c r="E146" s="56" t="s">
        <v>218</v>
      </c>
      <c r="F146" s="56" t="s">
        <v>160</v>
      </c>
      <c r="G146" s="23" t="s">
        <v>180</v>
      </c>
      <c r="H146" s="56" t="s">
        <v>5</v>
      </c>
      <c r="I146" s="57">
        <v>10</v>
      </c>
      <c r="J146" s="58">
        <v>440000000</v>
      </c>
      <c r="K146" s="44">
        <v>0</v>
      </c>
      <c r="L146" s="44">
        <v>35000000</v>
      </c>
      <c r="M146" s="44">
        <f t="shared" si="72"/>
        <v>405000000</v>
      </c>
      <c r="N146" s="113">
        <v>0</v>
      </c>
      <c r="O146" s="44">
        <v>360908431</v>
      </c>
      <c r="P146" s="44">
        <f t="shared" si="69"/>
        <v>44091569</v>
      </c>
      <c r="Q146" s="58">
        <v>260000000</v>
      </c>
      <c r="R146" s="25">
        <f t="shared" si="65"/>
        <v>0.64197530864197527</v>
      </c>
      <c r="S146" s="58">
        <v>0</v>
      </c>
      <c r="T146" s="59">
        <v>0</v>
      </c>
    </row>
    <row r="147" spans="1:20" s="47" customFormat="1" ht="48" customHeight="1" x14ac:dyDescent="0.25">
      <c r="A147" s="94" t="s">
        <v>18</v>
      </c>
      <c r="B147" s="56" t="s">
        <v>89</v>
      </c>
      <c r="C147" s="56" t="s">
        <v>90</v>
      </c>
      <c r="D147" s="56" t="s">
        <v>95</v>
      </c>
      <c r="E147" s="56" t="s">
        <v>218</v>
      </c>
      <c r="F147" s="56" t="s">
        <v>161</v>
      </c>
      <c r="G147" s="23" t="s">
        <v>181</v>
      </c>
      <c r="H147" s="56" t="s">
        <v>5</v>
      </c>
      <c r="I147" s="57">
        <v>10</v>
      </c>
      <c r="J147" s="58">
        <v>1300000000</v>
      </c>
      <c r="K147" s="44">
        <v>65000000</v>
      </c>
      <c r="L147" s="44"/>
      <c r="M147" s="44">
        <f t="shared" si="72"/>
        <v>1365000000</v>
      </c>
      <c r="N147" s="113">
        <v>0</v>
      </c>
      <c r="O147" s="44">
        <v>1306796159</v>
      </c>
      <c r="P147" s="44">
        <f t="shared" ref="P147:P148" si="85">+M147-O147-N147</f>
        <v>58203841</v>
      </c>
      <c r="Q147" s="58"/>
      <c r="R147" s="25">
        <f t="shared" si="65"/>
        <v>0</v>
      </c>
      <c r="S147" s="58"/>
      <c r="T147" s="59"/>
    </row>
    <row r="148" spans="1:20" s="47" customFormat="1" ht="42.75" customHeight="1" x14ac:dyDescent="0.25">
      <c r="A148" s="94" t="s">
        <v>18</v>
      </c>
      <c r="B148" s="56" t="s">
        <v>89</v>
      </c>
      <c r="C148" s="56" t="s">
        <v>90</v>
      </c>
      <c r="D148" s="56" t="s">
        <v>95</v>
      </c>
      <c r="E148" s="56" t="s">
        <v>218</v>
      </c>
      <c r="F148" s="56" t="s">
        <v>162</v>
      </c>
      <c r="G148" s="23" t="s">
        <v>182</v>
      </c>
      <c r="H148" s="56" t="s">
        <v>5</v>
      </c>
      <c r="I148" s="57">
        <v>10</v>
      </c>
      <c r="J148" s="58">
        <v>160000000</v>
      </c>
      <c r="K148" s="44">
        <v>0</v>
      </c>
      <c r="L148" s="44">
        <v>30000000</v>
      </c>
      <c r="M148" s="44">
        <f t="shared" si="72"/>
        <v>130000000</v>
      </c>
      <c r="N148" s="113">
        <v>0</v>
      </c>
      <c r="O148" s="44">
        <v>127951027</v>
      </c>
      <c r="P148" s="44">
        <f t="shared" si="85"/>
        <v>2048973</v>
      </c>
      <c r="Q148" s="58">
        <v>0</v>
      </c>
      <c r="R148" s="25">
        <f t="shared" si="65"/>
        <v>0</v>
      </c>
      <c r="S148" s="58">
        <v>0</v>
      </c>
      <c r="T148" s="59">
        <v>0</v>
      </c>
    </row>
    <row r="149" spans="1:20" s="47" customFormat="1" ht="42.75" customHeight="1" x14ac:dyDescent="0.25">
      <c r="A149" s="95" t="s">
        <v>18</v>
      </c>
      <c r="B149" s="98" t="s">
        <v>89</v>
      </c>
      <c r="C149" s="98" t="s">
        <v>90</v>
      </c>
      <c r="D149" s="98">
        <v>16</v>
      </c>
      <c r="E149" s="98"/>
      <c r="F149" s="98"/>
      <c r="G149" s="12" t="s">
        <v>200</v>
      </c>
      <c r="H149" s="98" t="s">
        <v>5</v>
      </c>
      <c r="I149" s="99">
        <v>10</v>
      </c>
      <c r="J149" s="100">
        <f>J150+J151+J152+J153</f>
        <v>21856000000</v>
      </c>
      <c r="K149" s="48">
        <f t="shared" ref="K149:T149" si="86">K150+K151+K152+K153</f>
        <v>0</v>
      </c>
      <c r="L149" s="48">
        <f t="shared" si="86"/>
        <v>0</v>
      </c>
      <c r="M149" s="48">
        <f>M150+M151+M152+M153</f>
        <v>21856000000</v>
      </c>
      <c r="N149" s="48">
        <f t="shared" si="86"/>
        <v>0</v>
      </c>
      <c r="O149" s="48">
        <f t="shared" si="86"/>
        <v>19521108563.700001</v>
      </c>
      <c r="P149" s="48">
        <f>P150+P151+P152+P153</f>
        <v>2334891436.2999992</v>
      </c>
      <c r="Q149" s="100">
        <f t="shared" si="86"/>
        <v>12632944613.700001</v>
      </c>
      <c r="R149" s="26">
        <f t="shared" si="65"/>
        <v>0.57800808078788435</v>
      </c>
      <c r="S149" s="100">
        <f t="shared" si="86"/>
        <v>1384247919</v>
      </c>
      <c r="T149" s="101">
        <f t="shared" si="86"/>
        <v>1360968782</v>
      </c>
    </row>
    <row r="150" spans="1:20" s="47" customFormat="1" ht="56.25" customHeight="1" x14ac:dyDescent="0.25">
      <c r="A150" s="94" t="s">
        <v>18</v>
      </c>
      <c r="B150" s="56" t="s">
        <v>89</v>
      </c>
      <c r="C150" s="56" t="s">
        <v>90</v>
      </c>
      <c r="D150" s="56">
        <v>16</v>
      </c>
      <c r="E150" s="56" t="s">
        <v>220</v>
      </c>
      <c r="F150" s="56" t="s">
        <v>150</v>
      </c>
      <c r="G150" s="23" t="s">
        <v>183</v>
      </c>
      <c r="H150" s="56" t="s">
        <v>5</v>
      </c>
      <c r="I150" s="57">
        <v>10</v>
      </c>
      <c r="J150" s="58">
        <v>14263763540</v>
      </c>
      <c r="K150" s="44">
        <v>0</v>
      </c>
      <c r="L150" s="44"/>
      <c r="M150" s="44">
        <f t="shared" si="72"/>
        <v>14263763540</v>
      </c>
      <c r="N150" s="44">
        <v>0</v>
      </c>
      <c r="O150" s="44">
        <v>12424370457.700001</v>
      </c>
      <c r="P150" s="44">
        <f t="shared" si="69"/>
        <v>1839393082.2999992</v>
      </c>
      <c r="Q150" s="58">
        <v>7525758558.6999998</v>
      </c>
      <c r="R150" s="25">
        <f t="shared" si="65"/>
        <v>0.52761380526222601</v>
      </c>
      <c r="S150" s="58">
        <v>506329234</v>
      </c>
      <c r="T150" s="59">
        <v>506329234</v>
      </c>
    </row>
    <row r="151" spans="1:20" s="47" customFormat="1" ht="48.75" customHeight="1" x14ac:dyDescent="0.25">
      <c r="A151" s="94" t="s">
        <v>18</v>
      </c>
      <c r="B151" s="56" t="s">
        <v>89</v>
      </c>
      <c r="C151" s="56" t="s">
        <v>90</v>
      </c>
      <c r="D151" s="56">
        <v>16</v>
      </c>
      <c r="E151" s="56" t="s">
        <v>220</v>
      </c>
      <c r="F151" s="56" t="s">
        <v>148</v>
      </c>
      <c r="G151" s="23" t="s">
        <v>184</v>
      </c>
      <c r="H151" s="56" t="s">
        <v>5</v>
      </c>
      <c r="I151" s="57">
        <v>10</v>
      </c>
      <c r="J151" s="58">
        <v>5531215836</v>
      </c>
      <c r="K151" s="44">
        <v>0</v>
      </c>
      <c r="L151" s="44"/>
      <c r="M151" s="44">
        <f t="shared" si="72"/>
        <v>5531215836</v>
      </c>
      <c r="N151" s="113">
        <v>0</v>
      </c>
      <c r="O151" s="44">
        <v>5529224904</v>
      </c>
      <c r="P151" s="44">
        <f t="shared" ref="P151:P152" si="87">+M151-O151-N151</f>
        <v>1990932</v>
      </c>
      <c r="Q151" s="58">
        <v>4308173955</v>
      </c>
      <c r="R151" s="25">
        <f t="shared" si="65"/>
        <v>0.77888371792693134</v>
      </c>
      <c r="S151" s="58">
        <v>877918685</v>
      </c>
      <c r="T151" s="59">
        <v>854639548</v>
      </c>
    </row>
    <row r="152" spans="1:20" s="47" customFormat="1" ht="54" customHeight="1" x14ac:dyDescent="0.25">
      <c r="A152" s="94" t="s">
        <v>18</v>
      </c>
      <c r="B152" s="56" t="s">
        <v>89</v>
      </c>
      <c r="C152" s="56" t="s">
        <v>90</v>
      </c>
      <c r="D152" s="56">
        <v>16</v>
      </c>
      <c r="E152" s="56" t="s">
        <v>220</v>
      </c>
      <c r="F152" s="56" t="s">
        <v>156</v>
      </c>
      <c r="G152" s="23" t="s">
        <v>185</v>
      </c>
      <c r="H152" s="56" t="s">
        <v>5</v>
      </c>
      <c r="I152" s="57">
        <v>10</v>
      </c>
      <c r="J152" s="58">
        <v>1443612624</v>
      </c>
      <c r="K152" s="44">
        <v>0</v>
      </c>
      <c r="L152" s="44"/>
      <c r="M152" s="44">
        <f t="shared" si="72"/>
        <v>1443612624</v>
      </c>
      <c r="N152" s="44">
        <v>0</v>
      </c>
      <c r="O152" s="44">
        <v>1114117034</v>
      </c>
      <c r="P152" s="44">
        <f t="shared" si="87"/>
        <v>329495590</v>
      </c>
      <c r="Q152" s="58">
        <v>799012100</v>
      </c>
      <c r="R152" s="25">
        <f t="shared" si="65"/>
        <v>0.55348095930754349</v>
      </c>
      <c r="S152" s="58">
        <v>0</v>
      </c>
      <c r="T152" s="59">
        <v>0</v>
      </c>
    </row>
    <row r="153" spans="1:20" s="47" customFormat="1" ht="56.25" customHeight="1" x14ac:dyDescent="0.25">
      <c r="A153" s="94" t="s">
        <v>18</v>
      </c>
      <c r="B153" s="56" t="s">
        <v>89</v>
      </c>
      <c r="C153" s="56" t="s">
        <v>90</v>
      </c>
      <c r="D153" s="56">
        <v>16</v>
      </c>
      <c r="E153" s="56" t="s">
        <v>220</v>
      </c>
      <c r="F153" s="56" t="s">
        <v>154</v>
      </c>
      <c r="G153" s="23" t="s">
        <v>186</v>
      </c>
      <c r="H153" s="56" t="s">
        <v>5</v>
      </c>
      <c r="I153" s="57">
        <v>10</v>
      </c>
      <c r="J153" s="58">
        <v>617408000</v>
      </c>
      <c r="K153" s="44">
        <v>0</v>
      </c>
      <c r="L153" s="44"/>
      <c r="M153" s="44">
        <f t="shared" si="72"/>
        <v>617408000</v>
      </c>
      <c r="N153" s="113">
        <v>0</v>
      </c>
      <c r="O153" s="44">
        <v>453396168</v>
      </c>
      <c r="P153" s="114">
        <f>+M153-O153-N153</f>
        <v>164011832</v>
      </c>
      <c r="Q153" s="58">
        <v>0</v>
      </c>
      <c r="R153" s="25">
        <f t="shared" si="65"/>
        <v>0</v>
      </c>
      <c r="S153" s="58">
        <v>0</v>
      </c>
      <c r="T153" s="59">
        <v>0</v>
      </c>
    </row>
    <row r="154" spans="1:20" ht="31.5" customHeight="1" x14ac:dyDescent="0.25">
      <c r="A154" s="95" t="s">
        <v>18</v>
      </c>
      <c r="B154" s="11">
        <v>2999</v>
      </c>
      <c r="C154" s="11"/>
      <c r="D154" s="11"/>
      <c r="E154" s="11"/>
      <c r="F154" s="11"/>
      <c r="G154" s="12" t="s">
        <v>231</v>
      </c>
      <c r="H154" s="11" t="s">
        <v>5</v>
      </c>
      <c r="I154" s="13">
        <v>10</v>
      </c>
      <c r="J154" s="14">
        <f>J155</f>
        <v>52902704000</v>
      </c>
      <c r="K154" s="14">
        <f t="shared" ref="K154:Q154" si="88">K155</f>
        <v>0</v>
      </c>
      <c r="L154" s="24">
        <f t="shared" si="88"/>
        <v>0</v>
      </c>
      <c r="M154" s="48">
        <f t="shared" si="88"/>
        <v>52902704000</v>
      </c>
      <c r="N154" s="24">
        <f>N155</f>
        <v>0</v>
      </c>
      <c r="O154" s="24">
        <f>O155</f>
        <v>29060049510.18</v>
      </c>
      <c r="P154" s="24">
        <f t="shared" si="88"/>
        <v>23842654489.82</v>
      </c>
      <c r="Q154" s="14">
        <f t="shared" si="88"/>
        <v>25748175280.18</v>
      </c>
      <c r="R154" s="26">
        <f t="shared" si="65"/>
        <v>0.48670811382684714</v>
      </c>
      <c r="S154" s="14">
        <f>S155</f>
        <v>11307866072.450001</v>
      </c>
      <c r="T154" s="22">
        <f t="shared" ref="T154" si="89">T155</f>
        <v>11266586791.790001</v>
      </c>
    </row>
    <row r="155" spans="1:20" ht="31.5" customHeight="1" x14ac:dyDescent="0.25">
      <c r="A155" s="95" t="s">
        <v>18</v>
      </c>
      <c r="B155" s="11" t="s">
        <v>96</v>
      </c>
      <c r="C155" s="11" t="s">
        <v>90</v>
      </c>
      <c r="D155" s="11"/>
      <c r="E155" s="11"/>
      <c r="F155" s="11"/>
      <c r="G155" s="12" t="s">
        <v>207</v>
      </c>
      <c r="H155" s="11" t="s">
        <v>5</v>
      </c>
      <c r="I155" s="13">
        <v>10</v>
      </c>
      <c r="J155" s="14">
        <f t="shared" ref="J155:Q155" si="90">J156+J158+J161+J164+J166+J168+J170+J173</f>
        <v>52902704000</v>
      </c>
      <c r="K155" s="14">
        <f t="shared" si="90"/>
        <v>0</v>
      </c>
      <c r="L155" s="24">
        <f t="shared" si="90"/>
        <v>0</v>
      </c>
      <c r="M155" s="48">
        <f t="shared" si="90"/>
        <v>52902704000</v>
      </c>
      <c r="N155" s="24">
        <f t="shared" si="90"/>
        <v>0</v>
      </c>
      <c r="O155" s="24">
        <f t="shared" si="90"/>
        <v>29060049510.18</v>
      </c>
      <c r="P155" s="24">
        <f t="shared" si="90"/>
        <v>23842654489.82</v>
      </c>
      <c r="Q155" s="14">
        <f t="shared" si="90"/>
        <v>25748175280.18</v>
      </c>
      <c r="R155" s="26">
        <f t="shared" si="65"/>
        <v>0.48670811382684714</v>
      </c>
      <c r="S155" s="14">
        <f>S156+S158+S161+S164+S166+S168+S170+S173</f>
        <v>11307866072.450001</v>
      </c>
      <c r="T155" s="22">
        <f>T156+T158+T161+T164+T166+T168+T170+T173</f>
        <v>11266586791.790001</v>
      </c>
    </row>
    <row r="156" spans="1:20" ht="31.5" customHeight="1" x14ac:dyDescent="0.25">
      <c r="A156" s="95" t="s">
        <v>18</v>
      </c>
      <c r="B156" s="11" t="s">
        <v>96</v>
      </c>
      <c r="C156" s="98" t="s">
        <v>90</v>
      </c>
      <c r="D156" s="98" t="s">
        <v>93</v>
      </c>
      <c r="E156" s="11"/>
      <c r="F156" s="11"/>
      <c r="G156" s="12" t="s">
        <v>201</v>
      </c>
      <c r="H156" s="98" t="s">
        <v>5</v>
      </c>
      <c r="I156" s="99">
        <v>10</v>
      </c>
      <c r="J156" s="14">
        <f>J157</f>
        <v>1040000000</v>
      </c>
      <c r="K156" s="24">
        <f t="shared" ref="K156:T156" si="91">K157</f>
        <v>0</v>
      </c>
      <c r="L156" s="24">
        <f t="shared" si="91"/>
        <v>0</v>
      </c>
      <c r="M156" s="48">
        <f t="shared" si="91"/>
        <v>1040000000</v>
      </c>
      <c r="N156" s="24">
        <f t="shared" si="91"/>
        <v>0</v>
      </c>
      <c r="O156" s="24">
        <f>O157</f>
        <v>1039999999.0700001</v>
      </c>
      <c r="P156" s="24">
        <f>P157</f>
        <v>0.9299999475479126</v>
      </c>
      <c r="Q156" s="14">
        <f t="shared" si="91"/>
        <v>1039999999.0700001</v>
      </c>
      <c r="R156" s="26">
        <f t="shared" si="65"/>
        <v>0.99999999910576931</v>
      </c>
      <c r="S156" s="14">
        <f t="shared" si="91"/>
        <v>0</v>
      </c>
      <c r="T156" s="22">
        <f t="shared" si="91"/>
        <v>0</v>
      </c>
    </row>
    <row r="157" spans="1:20" ht="42.75" customHeight="1" x14ac:dyDescent="0.25">
      <c r="A157" s="94" t="s">
        <v>18</v>
      </c>
      <c r="B157" s="7" t="s">
        <v>96</v>
      </c>
      <c r="C157" s="56" t="s">
        <v>90</v>
      </c>
      <c r="D157" s="56" t="s">
        <v>93</v>
      </c>
      <c r="E157" s="56" t="s">
        <v>221</v>
      </c>
      <c r="F157" s="56" t="s">
        <v>165</v>
      </c>
      <c r="G157" s="23" t="s">
        <v>187</v>
      </c>
      <c r="H157" s="56" t="s">
        <v>5</v>
      </c>
      <c r="I157" s="57">
        <v>10</v>
      </c>
      <c r="J157" s="44">
        <v>1040000000</v>
      </c>
      <c r="K157" s="44">
        <v>0</v>
      </c>
      <c r="L157" s="44">
        <v>0</v>
      </c>
      <c r="M157" s="44">
        <f t="shared" ref="M157:M176" si="92">J157+K157-L157</f>
        <v>1040000000</v>
      </c>
      <c r="N157" s="44">
        <v>0</v>
      </c>
      <c r="O157" s="44">
        <v>1039999999.0700001</v>
      </c>
      <c r="P157" s="27">
        <f t="shared" ref="P157:P169" si="93">+M157-O157-N157</f>
        <v>0.9299999475479126</v>
      </c>
      <c r="Q157" s="58">
        <v>1039999999.0700001</v>
      </c>
      <c r="R157" s="25">
        <f t="shared" si="65"/>
        <v>0.99999999910576931</v>
      </c>
      <c r="S157" s="58">
        <v>0</v>
      </c>
      <c r="T157" s="59">
        <v>0</v>
      </c>
    </row>
    <row r="158" spans="1:20" ht="48" customHeight="1" x14ac:dyDescent="0.25">
      <c r="A158" s="95" t="s">
        <v>18</v>
      </c>
      <c r="B158" s="98" t="s">
        <v>96</v>
      </c>
      <c r="C158" s="98" t="s">
        <v>90</v>
      </c>
      <c r="D158" s="98" t="s">
        <v>94</v>
      </c>
      <c r="E158" s="98"/>
      <c r="F158" s="98"/>
      <c r="G158" s="12" t="s">
        <v>202</v>
      </c>
      <c r="H158" s="98" t="s">
        <v>5</v>
      </c>
      <c r="I158" s="99">
        <v>10</v>
      </c>
      <c r="J158" s="48">
        <f>J159+J160</f>
        <v>23019524233</v>
      </c>
      <c r="K158" s="48">
        <f t="shared" ref="K158:T158" si="94">K159+K160</f>
        <v>0</v>
      </c>
      <c r="L158" s="48">
        <f t="shared" si="94"/>
        <v>0</v>
      </c>
      <c r="M158" s="48">
        <f>M159+M160</f>
        <v>23019524233</v>
      </c>
      <c r="N158" s="48">
        <f t="shared" si="94"/>
        <v>0</v>
      </c>
      <c r="O158" s="48">
        <f>O159+O160</f>
        <v>18200274096.02</v>
      </c>
      <c r="P158" s="24">
        <f>P159+P160</f>
        <v>4819250136.9799995</v>
      </c>
      <c r="Q158" s="100">
        <f>Q159+Q160</f>
        <v>18200274096.02</v>
      </c>
      <c r="R158" s="26">
        <f t="shared" si="65"/>
        <v>0.79064510247039388</v>
      </c>
      <c r="S158" s="100">
        <f t="shared" si="94"/>
        <v>10216404609.030001</v>
      </c>
      <c r="T158" s="101">
        <f t="shared" si="94"/>
        <v>10186404609.030001</v>
      </c>
    </row>
    <row r="159" spans="1:20" ht="45" customHeight="1" x14ac:dyDescent="0.25">
      <c r="A159" s="94" t="s">
        <v>18</v>
      </c>
      <c r="B159" s="56" t="s">
        <v>96</v>
      </c>
      <c r="C159" s="56" t="s">
        <v>90</v>
      </c>
      <c r="D159" s="56" t="s">
        <v>94</v>
      </c>
      <c r="E159" s="56" t="s">
        <v>221</v>
      </c>
      <c r="F159" s="56" t="s">
        <v>163</v>
      </c>
      <c r="G159" s="23" t="s">
        <v>188</v>
      </c>
      <c r="H159" s="56" t="s">
        <v>5</v>
      </c>
      <c r="I159" s="57">
        <v>10</v>
      </c>
      <c r="J159" s="58">
        <v>1055000000</v>
      </c>
      <c r="K159" s="44">
        <v>0</v>
      </c>
      <c r="L159" s="44">
        <v>0</v>
      </c>
      <c r="M159" s="44">
        <f t="shared" si="92"/>
        <v>1055000000</v>
      </c>
      <c r="N159" s="44">
        <v>0</v>
      </c>
      <c r="O159" s="44">
        <v>0</v>
      </c>
      <c r="P159" s="27">
        <f t="shared" si="93"/>
        <v>1055000000</v>
      </c>
      <c r="Q159" s="58">
        <v>0</v>
      </c>
      <c r="R159" s="25">
        <f t="shared" si="65"/>
        <v>0</v>
      </c>
      <c r="S159" s="58">
        <v>0</v>
      </c>
      <c r="T159" s="59">
        <v>0</v>
      </c>
    </row>
    <row r="160" spans="1:20" ht="47.25" customHeight="1" x14ac:dyDescent="0.25">
      <c r="A160" s="94" t="s">
        <v>18</v>
      </c>
      <c r="B160" s="56" t="s">
        <v>96</v>
      </c>
      <c r="C160" s="56" t="s">
        <v>90</v>
      </c>
      <c r="D160" s="56" t="s">
        <v>94</v>
      </c>
      <c r="E160" s="56" t="s">
        <v>221</v>
      </c>
      <c r="F160" s="56" t="s">
        <v>164</v>
      </c>
      <c r="G160" s="23" t="s">
        <v>189</v>
      </c>
      <c r="H160" s="56" t="s">
        <v>5</v>
      </c>
      <c r="I160" s="57">
        <v>10</v>
      </c>
      <c r="J160" s="58">
        <v>21964524233</v>
      </c>
      <c r="K160" s="44">
        <v>0</v>
      </c>
      <c r="L160" s="44">
        <v>0</v>
      </c>
      <c r="M160" s="44">
        <v>21964524233</v>
      </c>
      <c r="N160" s="44">
        <v>0</v>
      </c>
      <c r="O160" s="44">
        <v>18200274096.02</v>
      </c>
      <c r="P160" s="27">
        <f>+M160-O160-N160</f>
        <v>3764250136.9799995</v>
      </c>
      <c r="Q160" s="58">
        <v>18200274096.02</v>
      </c>
      <c r="R160" s="25">
        <f t="shared" si="65"/>
        <v>0.82862136702581046</v>
      </c>
      <c r="S160" s="58">
        <v>10216404609.030001</v>
      </c>
      <c r="T160" s="59">
        <v>10186404609.030001</v>
      </c>
    </row>
    <row r="161" spans="1:20" ht="47.25" customHeight="1" x14ac:dyDescent="0.25">
      <c r="A161" s="95" t="s">
        <v>18</v>
      </c>
      <c r="B161" s="98" t="s">
        <v>96</v>
      </c>
      <c r="C161" s="98" t="s">
        <v>90</v>
      </c>
      <c r="D161" s="98" t="s">
        <v>95</v>
      </c>
      <c r="E161" s="98"/>
      <c r="F161" s="98"/>
      <c r="G161" s="12" t="s">
        <v>203</v>
      </c>
      <c r="H161" s="98" t="s">
        <v>5</v>
      </c>
      <c r="I161" s="99">
        <v>10</v>
      </c>
      <c r="J161" s="100">
        <f>J162+J163</f>
        <v>5464000000</v>
      </c>
      <c r="K161" s="48">
        <f t="shared" ref="K161:T161" si="95">K162+K163</f>
        <v>0</v>
      </c>
      <c r="L161" s="48">
        <f t="shared" si="95"/>
        <v>0</v>
      </c>
      <c r="M161" s="48">
        <f t="shared" si="95"/>
        <v>5464000000</v>
      </c>
      <c r="N161" s="48">
        <f t="shared" si="95"/>
        <v>0</v>
      </c>
      <c r="O161" s="48">
        <f>O162+O163</f>
        <v>5088123998.1199999</v>
      </c>
      <c r="P161" s="24">
        <f>P162+P163</f>
        <v>375876001.88</v>
      </c>
      <c r="Q161" s="100">
        <f t="shared" si="95"/>
        <v>4620696718.1199999</v>
      </c>
      <c r="R161" s="26">
        <f t="shared" si="65"/>
        <v>0.84566191766471444</v>
      </c>
      <c r="S161" s="100">
        <f t="shared" si="95"/>
        <v>784409310</v>
      </c>
      <c r="T161" s="101">
        <f t="shared" si="95"/>
        <v>779726660</v>
      </c>
    </row>
    <row r="162" spans="1:20" ht="41.25" customHeight="1" x14ac:dyDescent="0.25">
      <c r="A162" s="94" t="s">
        <v>18</v>
      </c>
      <c r="B162" s="56" t="s">
        <v>96</v>
      </c>
      <c r="C162" s="56" t="s">
        <v>90</v>
      </c>
      <c r="D162" s="56" t="s">
        <v>95</v>
      </c>
      <c r="E162" s="56" t="s">
        <v>221</v>
      </c>
      <c r="F162" s="56" t="s">
        <v>166</v>
      </c>
      <c r="G162" s="23" t="s">
        <v>190</v>
      </c>
      <c r="H162" s="56" t="s">
        <v>5</v>
      </c>
      <c r="I162" s="57">
        <v>10</v>
      </c>
      <c r="J162" s="58">
        <v>1049493214</v>
      </c>
      <c r="K162" s="44">
        <v>0</v>
      </c>
      <c r="L162" s="44">
        <v>0</v>
      </c>
      <c r="M162" s="44">
        <f t="shared" si="92"/>
        <v>1049493214</v>
      </c>
      <c r="N162" s="44">
        <v>0</v>
      </c>
      <c r="O162" s="44">
        <v>909121136.15999997</v>
      </c>
      <c r="P162" s="27">
        <f t="shared" si="93"/>
        <v>140372077.84000003</v>
      </c>
      <c r="Q162" s="58">
        <v>802543523.15999997</v>
      </c>
      <c r="R162" s="25">
        <f t="shared" si="65"/>
        <v>0.76469624810742221</v>
      </c>
      <c r="S162" s="58">
        <v>0</v>
      </c>
      <c r="T162" s="59">
        <v>0</v>
      </c>
    </row>
    <row r="163" spans="1:20" ht="47.25" customHeight="1" x14ac:dyDescent="0.25">
      <c r="A163" s="94" t="s">
        <v>18</v>
      </c>
      <c r="B163" s="56" t="s">
        <v>96</v>
      </c>
      <c r="C163" s="56" t="s">
        <v>90</v>
      </c>
      <c r="D163" s="56" t="s">
        <v>95</v>
      </c>
      <c r="E163" s="56" t="s">
        <v>221</v>
      </c>
      <c r="F163" s="56" t="s">
        <v>164</v>
      </c>
      <c r="G163" s="23" t="s">
        <v>191</v>
      </c>
      <c r="H163" s="56" t="s">
        <v>5</v>
      </c>
      <c r="I163" s="57">
        <v>10</v>
      </c>
      <c r="J163" s="58">
        <v>4414506786</v>
      </c>
      <c r="K163" s="44">
        <v>0</v>
      </c>
      <c r="L163" s="44">
        <v>0</v>
      </c>
      <c r="M163" s="44">
        <f t="shared" si="92"/>
        <v>4414506786</v>
      </c>
      <c r="N163" s="44">
        <v>0</v>
      </c>
      <c r="O163" s="44">
        <v>4179002861.96</v>
      </c>
      <c r="P163" s="27">
        <f t="shared" ref="P163" si="96">+M163-O163-N163</f>
        <v>235503924.03999996</v>
      </c>
      <c r="Q163" s="58">
        <v>3818153194.96</v>
      </c>
      <c r="R163" s="25">
        <f t="shared" si="65"/>
        <v>0.86491048265431303</v>
      </c>
      <c r="S163" s="58">
        <v>784409310</v>
      </c>
      <c r="T163" s="59">
        <v>779726660</v>
      </c>
    </row>
    <row r="164" spans="1:20" ht="47.25" customHeight="1" x14ac:dyDescent="0.25">
      <c r="A164" s="95" t="s">
        <v>18</v>
      </c>
      <c r="B164" s="98" t="s">
        <v>96</v>
      </c>
      <c r="C164" s="98" t="s">
        <v>90</v>
      </c>
      <c r="D164" s="98">
        <v>16</v>
      </c>
      <c r="E164" s="98"/>
      <c r="F164" s="98"/>
      <c r="G164" s="12" t="s">
        <v>222</v>
      </c>
      <c r="H164" s="98" t="s">
        <v>5</v>
      </c>
      <c r="I164" s="99">
        <v>10</v>
      </c>
      <c r="J164" s="100">
        <f>J165</f>
        <v>45000000</v>
      </c>
      <c r="K164" s="48">
        <f t="shared" ref="K164:Q164" si="97">K165</f>
        <v>0</v>
      </c>
      <c r="L164" s="48">
        <f t="shared" si="97"/>
        <v>0</v>
      </c>
      <c r="M164" s="48">
        <f t="shared" si="97"/>
        <v>45000000</v>
      </c>
      <c r="N164" s="48">
        <f t="shared" si="97"/>
        <v>0</v>
      </c>
      <c r="O164" s="48">
        <f t="shared" si="97"/>
        <v>0</v>
      </c>
      <c r="P164" s="24">
        <f t="shared" si="97"/>
        <v>45000000</v>
      </c>
      <c r="Q164" s="100">
        <f t="shared" si="97"/>
        <v>0</v>
      </c>
      <c r="R164" s="26">
        <f t="shared" si="65"/>
        <v>0</v>
      </c>
      <c r="S164" s="100">
        <f t="shared" ref="S164:T164" si="98">S165</f>
        <v>0</v>
      </c>
      <c r="T164" s="101">
        <f t="shared" si="98"/>
        <v>0</v>
      </c>
    </row>
    <row r="165" spans="1:20" ht="39" customHeight="1" x14ac:dyDescent="0.25">
      <c r="A165" s="94" t="s">
        <v>18</v>
      </c>
      <c r="B165" s="56" t="s">
        <v>96</v>
      </c>
      <c r="C165" s="56" t="s">
        <v>90</v>
      </c>
      <c r="D165" s="56">
        <v>16</v>
      </c>
      <c r="E165" s="56" t="s">
        <v>221</v>
      </c>
      <c r="F165" s="56">
        <v>2999065</v>
      </c>
      <c r="G165" s="23" t="s">
        <v>223</v>
      </c>
      <c r="H165" s="56" t="s">
        <v>5</v>
      </c>
      <c r="I165" s="57">
        <v>10</v>
      </c>
      <c r="J165" s="58">
        <v>45000000</v>
      </c>
      <c r="K165" s="44">
        <v>0</v>
      </c>
      <c r="L165" s="44">
        <v>0</v>
      </c>
      <c r="M165" s="44">
        <f t="shared" si="92"/>
        <v>45000000</v>
      </c>
      <c r="N165" s="113">
        <v>0</v>
      </c>
      <c r="O165" s="44">
        <v>0</v>
      </c>
      <c r="P165" s="27">
        <f t="shared" si="93"/>
        <v>45000000</v>
      </c>
      <c r="Q165" s="58">
        <v>0</v>
      </c>
      <c r="R165" s="25">
        <f t="shared" si="65"/>
        <v>0</v>
      </c>
      <c r="S165" s="58"/>
      <c r="T165" s="59"/>
    </row>
    <row r="166" spans="1:20" ht="47.25" customHeight="1" x14ac:dyDescent="0.25">
      <c r="A166" s="95" t="s">
        <v>18</v>
      </c>
      <c r="B166" s="98" t="s">
        <v>96</v>
      </c>
      <c r="C166" s="98" t="s">
        <v>90</v>
      </c>
      <c r="D166" s="98">
        <v>17</v>
      </c>
      <c r="E166" s="98"/>
      <c r="F166" s="98"/>
      <c r="G166" s="12" t="s">
        <v>204</v>
      </c>
      <c r="H166" s="98" t="s">
        <v>5</v>
      </c>
      <c r="I166" s="99">
        <v>10</v>
      </c>
      <c r="J166" s="100">
        <f>J167</f>
        <v>77674866</v>
      </c>
      <c r="K166" s="48">
        <f t="shared" ref="K166:T166" si="99">K167</f>
        <v>0</v>
      </c>
      <c r="L166" s="48">
        <f t="shared" si="99"/>
        <v>0</v>
      </c>
      <c r="M166" s="48">
        <f t="shared" si="99"/>
        <v>77674866</v>
      </c>
      <c r="N166" s="48">
        <f t="shared" si="99"/>
        <v>0</v>
      </c>
      <c r="O166" s="48">
        <f>O167</f>
        <v>77674863</v>
      </c>
      <c r="P166" s="24">
        <f t="shared" si="99"/>
        <v>3</v>
      </c>
      <c r="Q166" s="100">
        <f t="shared" si="99"/>
        <v>77674863</v>
      </c>
      <c r="R166" s="26">
        <f t="shared" si="65"/>
        <v>0.99999996137746794</v>
      </c>
      <c r="S166" s="100">
        <f t="shared" si="99"/>
        <v>46604918</v>
      </c>
      <c r="T166" s="101">
        <f t="shared" si="99"/>
        <v>46604918</v>
      </c>
    </row>
    <row r="167" spans="1:20" ht="32.25" customHeight="1" x14ac:dyDescent="0.25">
      <c r="A167" s="94" t="s">
        <v>18</v>
      </c>
      <c r="B167" s="56" t="s">
        <v>96</v>
      </c>
      <c r="C167" s="56" t="s">
        <v>90</v>
      </c>
      <c r="D167" s="56">
        <v>17</v>
      </c>
      <c r="E167" s="56" t="s">
        <v>221</v>
      </c>
      <c r="F167" s="56">
        <v>2999064</v>
      </c>
      <c r="G167" s="23" t="s">
        <v>224</v>
      </c>
      <c r="H167" s="56" t="s">
        <v>5</v>
      </c>
      <c r="I167" s="57">
        <v>10</v>
      </c>
      <c r="J167" s="58">
        <v>77674866</v>
      </c>
      <c r="K167" s="44"/>
      <c r="L167" s="44">
        <v>0</v>
      </c>
      <c r="M167" s="44">
        <f t="shared" si="92"/>
        <v>77674866</v>
      </c>
      <c r="N167" s="44">
        <v>0</v>
      </c>
      <c r="O167" s="44">
        <v>77674863</v>
      </c>
      <c r="P167" s="27">
        <f>+M167-O167-N167</f>
        <v>3</v>
      </c>
      <c r="Q167" s="58">
        <v>77674863</v>
      </c>
      <c r="R167" s="25">
        <f t="shared" si="65"/>
        <v>0.99999996137746794</v>
      </c>
      <c r="S167" s="58">
        <v>46604918</v>
      </c>
      <c r="T167" s="59">
        <v>46604918</v>
      </c>
    </row>
    <row r="168" spans="1:20" s="102" customFormat="1" ht="32.25" customHeight="1" x14ac:dyDescent="0.25">
      <c r="A168" s="95" t="s">
        <v>18</v>
      </c>
      <c r="B168" s="98" t="s">
        <v>96</v>
      </c>
      <c r="C168" s="98" t="s">
        <v>90</v>
      </c>
      <c r="D168" s="98" t="s">
        <v>97</v>
      </c>
      <c r="E168" s="98"/>
      <c r="F168" s="98"/>
      <c r="G168" s="12" t="s">
        <v>205</v>
      </c>
      <c r="H168" s="98" t="s">
        <v>5</v>
      </c>
      <c r="I168" s="99">
        <v>10</v>
      </c>
      <c r="J168" s="100">
        <f>J169</f>
        <v>837000000</v>
      </c>
      <c r="K168" s="48">
        <f t="shared" ref="K168:T168" si="100">K169</f>
        <v>0</v>
      </c>
      <c r="L168" s="48">
        <f t="shared" si="100"/>
        <v>0</v>
      </c>
      <c r="M168" s="48">
        <f t="shared" si="100"/>
        <v>837000000</v>
      </c>
      <c r="N168" s="48">
        <f t="shared" si="100"/>
        <v>0</v>
      </c>
      <c r="O168" s="48">
        <f t="shared" si="100"/>
        <v>836768065</v>
      </c>
      <c r="P168" s="24">
        <f t="shared" si="100"/>
        <v>231935</v>
      </c>
      <c r="Q168" s="100">
        <f t="shared" si="100"/>
        <v>836768065</v>
      </c>
      <c r="R168" s="26">
        <f t="shared" si="65"/>
        <v>0.99972289725209085</v>
      </c>
      <c r="S168" s="100">
        <f t="shared" si="100"/>
        <v>163260368.66</v>
      </c>
      <c r="T168" s="101">
        <f t="shared" si="100"/>
        <v>160989738</v>
      </c>
    </row>
    <row r="169" spans="1:20" ht="44.25" customHeight="1" x14ac:dyDescent="0.25">
      <c r="A169" s="94" t="s">
        <v>18</v>
      </c>
      <c r="B169" s="56" t="s">
        <v>96</v>
      </c>
      <c r="C169" s="56" t="s">
        <v>90</v>
      </c>
      <c r="D169" s="56" t="s">
        <v>97</v>
      </c>
      <c r="E169" s="56" t="s">
        <v>221</v>
      </c>
      <c r="F169" s="56" t="s">
        <v>166</v>
      </c>
      <c r="G169" s="23" t="s">
        <v>192</v>
      </c>
      <c r="H169" s="56" t="s">
        <v>5</v>
      </c>
      <c r="I169" s="57">
        <v>10</v>
      </c>
      <c r="J169" s="58">
        <v>837000000</v>
      </c>
      <c r="K169" s="44">
        <v>0</v>
      </c>
      <c r="L169" s="44">
        <v>0</v>
      </c>
      <c r="M169" s="44">
        <f t="shared" si="92"/>
        <v>837000000</v>
      </c>
      <c r="N169" s="113"/>
      <c r="O169" s="44">
        <v>836768065</v>
      </c>
      <c r="P169" s="27">
        <f t="shared" si="93"/>
        <v>231935</v>
      </c>
      <c r="Q169" s="58">
        <v>836768065</v>
      </c>
      <c r="R169" s="25">
        <f t="shared" si="65"/>
        <v>0.99972289725209085</v>
      </c>
      <c r="S169" s="58">
        <v>163260368.66</v>
      </c>
      <c r="T169" s="59">
        <v>160989738</v>
      </c>
    </row>
    <row r="170" spans="1:20" ht="42" customHeight="1" x14ac:dyDescent="0.25">
      <c r="A170" s="95" t="s">
        <v>18</v>
      </c>
      <c r="B170" s="98" t="s">
        <v>96</v>
      </c>
      <c r="C170" s="11" t="s">
        <v>90</v>
      </c>
      <c r="D170" s="11" t="s">
        <v>98</v>
      </c>
      <c r="E170" s="11"/>
      <c r="F170" s="11"/>
      <c r="G170" s="12" t="s">
        <v>206</v>
      </c>
      <c r="H170" s="11" t="s">
        <v>5</v>
      </c>
      <c r="I170" s="13">
        <v>10</v>
      </c>
      <c r="J170" s="14">
        <f>J171+J172</f>
        <v>546400000</v>
      </c>
      <c r="K170" s="24">
        <f>K171+K172</f>
        <v>0</v>
      </c>
      <c r="L170" s="116">
        <f>L171+L172</f>
        <v>0</v>
      </c>
      <c r="M170" s="48">
        <f>M171+M172</f>
        <v>546400000</v>
      </c>
      <c r="N170" s="24">
        <f t="shared" ref="N170:T170" si="101">N171+N172</f>
        <v>0</v>
      </c>
      <c r="O170" s="24">
        <f t="shared" si="101"/>
        <v>542018647</v>
      </c>
      <c r="P170" s="24">
        <f>P171+P172</f>
        <v>4381353</v>
      </c>
      <c r="Q170" s="14">
        <f t="shared" si="101"/>
        <v>428525015</v>
      </c>
      <c r="R170" s="26">
        <f t="shared" si="65"/>
        <v>0.7842697931918009</v>
      </c>
      <c r="S170" s="14">
        <f t="shared" si="101"/>
        <v>42746473</v>
      </c>
      <c r="T170" s="22">
        <f t="shared" si="101"/>
        <v>38420473</v>
      </c>
    </row>
    <row r="171" spans="1:20" ht="39" customHeight="1" x14ac:dyDescent="0.25">
      <c r="A171" s="94" t="s">
        <v>18</v>
      </c>
      <c r="B171" s="56" t="s">
        <v>96</v>
      </c>
      <c r="C171" s="7" t="s">
        <v>90</v>
      </c>
      <c r="D171" s="7" t="s">
        <v>98</v>
      </c>
      <c r="E171" s="7" t="s">
        <v>221</v>
      </c>
      <c r="F171" s="7" t="s">
        <v>167</v>
      </c>
      <c r="G171" s="23" t="s">
        <v>193</v>
      </c>
      <c r="H171" s="7" t="s">
        <v>5</v>
      </c>
      <c r="I171" s="8">
        <v>10</v>
      </c>
      <c r="J171" s="9">
        <v>154665897</v>
      </c>
      <c r="K171" s="27"/>
      <c r="L171" s="27"/>
      <c r="M171" s="44">
        <f t="shared" si="92"/>
        <v>154665897</v>
      </c>
      <c r="N171" s="27">
        <v>0</v>
      </c>
      <c r="O171" s="27">
        <v>152776343</v>
      </c>
      <c r="P171" s="27">
        <f>+M171-O171-N171</f>
        <v>1889554</v>
      </c>
      <c r="Q171" s="9">
        <v>126180681</v>
      </c>
      <c r="R171" s="25">
        <f t="shared" si="65"/>
        <v>0.81582742833088795</v>
      </c>
      <c r="S171" s="9">
        <v>35444304</v>
      </c>
      <c r="T171" s="10">
        <v>31118304</v>
      </c>
    </row>
    <row r="172" spans="1:20" ht="39" customHeight="1" x14ac:dyDescent="0.25">
      <c r="A172" s="94" t="s">
        <v>18</v>
      </c>
      <c r="B172" s="56" t="s">
        <v>96</v>
      </c>
      <c r="C172" s="7" t="s">
        <v>90</v>
      </c>
      <c r="D172" s="7" t="s">
        <v>98</v>
      </c>
      <c r="E172" s="7" t="s">
        <v>221</v>
      </c>
      <c r="F172" s="7" t="s">
        <v>166</v>
      </c>
      <c r="G172" s="23" t="s">
        <v>194</v>
      </c>
      <c r="H172" s="7" t="s">
        <v>5</v>
      </c>
      <c r="I172" s="8">
        <v>10</v>
      </c>
      <c r="J172" s="9">
        <v>391734103</v>
      </c>
      <c r="K172" s="27"/>
      <c r="L172" s="27"/>
      <c r="M172" s="44">
        <f t="shared" si="92"/>
        <v>391734103</v>
      </c>
      <c r="N172" s="27">
        <v>0</v>
      </c>
      <c r="O172" s="27">
        <v>389242304</v>
      </c>
      <c r="P172" s="27">
        <f>+M172-O172-N172</f>
        <v>2491799</v>
      </c>
      <c r="Q172" s="9">
        <v>302344334</v>
      </c>
      <c r="R172" s="25">
        <f t="shared" si="65"/>
        <v>0.77181009180607385</v>
      </c>
      <c r="S172" s="9">
        <v>7302169</v>
      </c>
      <c r="T172" s="10">
        <v>7302169</v>
      </c>
    </row>
    <row r="173" spans="1:20" ht="39" customHeight="1" x14ac:dyDescent="0.25">
      <c r="A173" s="95" t="s">
        <v>18</v>
      </c>
      <c r="B173" s="11" t="s">
        <v>96</v>
      </c>
      <c r="C173" s="11" t="s">
        <v>90</v>
      </c>
      <c r="D173" s="11">
        <v>25</v>
      </c>
      <c r="E173" s="11"/>
      <c r="F173" s="11"/>
      <c r="G173" s="12" t="s">
        <v>225</v>
      </c>
      <c r="H173" s="11" t="s">
        <v>5</v>
      </c>
      <c r="I173" s="13">
        <v>10</v>
      </c>
      <c r="J173" s="14">
        <f>J176+J174+J175</f>
        <v>21873104901</v>
      </c>
      <c r="K173" s="24">
        <f>K176+K174+K175</f>
        <v>0</v>
      </c>
      <c r="L173" s="24">
        <f>L176+L174+L175</f>
        <v>0</v>
      </c>
      <c r="M173" s="48">
        <f>M176+M174+M175</f>
        <v>21873104901</v>
      </c>
      <c r="N173" s="24">
        <f t="shared" ref="N173" si="102">N176</f>
        <v>0</v>
      </c>
      <c r="O173" s="24">
        <f t="shared" ref="O173" si="103">O176+O174+O175</f>
        <v>3275189841.9700003</v>
      </c>
      <c r="P173" s="24">
        <f t="shared" ref="P173" si="104">P176+P174+P175</f>
        <v>18597915059.029999</v>
      </c>
      <c r="Q173" s="14">
        <f t="shared" ref="Q173" si="105">Q176+Q174+Q175</f>
        <v>544236523.97000003</v>
      </c>
      <c r="R173" s="26">
        <f t="shared" si="65"/>
        <v>2.488153951774439E-2</v>
      </c>
      <c r="S173" s="14">
        <f t="shared" ref="S173" si="106">S176+S174+S175</f>
        <v>54440393.759999998</v>
      </c>
      <c r="T173" s="22">
        <f t="shared" ref="T173" si="107">T176+T174+T175</f>
        <v>54440393.759999998</v>
      </c>
    </row>
    <row r="174" spans="1:20" ht="39" customHeight="1" x14ac:dyDescent="0.25">
      <c r="A174" s="94" t="s">
        <v>18</v>
      </c>
      <c r="B174" s="7" t="s">
        <v>96</v>
      </c>
      <c r="C174" s="7" t="s">
        <v>90</v>
      </c>
      <c r="D174" s="7">
        <v>25</v>
      </c>
      <c r="E174" s="7" t="s">
        <v>221</v>
      </c>
      <c r="F174" s="7">
        <v>2999011</v>
      </c>
      <c r="G174" s="23" t="s">
        <v>226</v>
      </c>
      <c r="H174" s="7" t="s">
        <v>5</v>
      </c>
      <c r="I174" s="8">
        <v>10</v>
      </c>
      <c r="J174" s="9">
        <v>3555000000</v>
      </c>
      <c r="K174" s="24"/>
      <c r="L174" s="24"/>
      <c r="M174" s="44">
        <f t="shared" si="92"/>
        <v>3555000000</v>
      </c>
      <c r="N174" s="27"/>
      <c r="O174" s="27">
        <v>2913661116.8200002</v>
      </c>
      <c r="P174" s="27">
        <f>+M174-O174-N174</f>
        <v>641338883.17999983</v>
      </c>
      <c r="Q174" s="9">
        <v>537210631.82000005</v>
      </c>
      <c r="R174" s="26">
        <f t="shared" si="65"/>
        <v>0.15111410177777779</v>
      </c>
      <c r="S174" s="9">
        <v>47414501.609999999</v>
      </c>
      <c r="T174" s="10">
        <v>47414501.609999999</v>
      </c>
    </row>
    <row r="175" spans="1:20" ht="39" customHeight="1" x14ac:dyDescent="0.25">
      <c r="A175" s="94" t="s">
        <v>18</v>
      </c>
      <c r="B175" s="7" t="s">
        <v>96</v>
      </c>
      <c r="C175" s="7" t="s">
        <v>90</v>
      </c>
      <c r="D175" s="7">
        <v>25</v>
      </c>
      <c r="E175" s="7" t="s">
        <v>221</v>
      </c>
      <c r="F175" s="7">
        <v>2999014</v>
      </c>
      <c r="G175" s="23" t="s">
        <v>227</v>
      </c>
      <c r="H175" s="7" t="s">
        <v>5</v>
      </c>
      <c r="I175" s="8">
        <v>10</v>
      </c>
      <c r="J175" s="9">
        <v>2980845467</v>
      </c>
      <c r="K175" s="24"/>
      <c r="L175" s="24"/>
      <c r="M175" s="44">
        <f t="shared" si="92"/>
        <v>2980845467</v>
      </c>
      <c r="N175" s="27"/>
      <c r="O175" s="27">
        <v>5543187.1500000004</v>
      </c>
      <c r="P175" s="27">
        <f t="shared" ref="P175:P176" si="108">+M175-O175-N175</f>
        <v>2975302279.8499999</v>
      </c>
      <c r="Q175" s="9">
        <v>5543187.1500000004</v>
      </c>
      <c r="R175" s="26">
        <f t="shared" si="65"/>
        <v>1.8596023213436849E-3</v>
      </c>
      <c r="S175" s="9">
        <v>5543187.1500000004</v>
      </c>
      <c r="T175" s="10">
        <v>5543187.1500000004</v>
      </c>
    </row>
    <row r="176" spans="1:20" ht="32.25" customHeight="1" x14ac:dyDescent="0.25">
      <c r="A176" s="94" t="s">
        <v>18</v>
      </c>
      <c r="B176" s="7" t="s">
        <v>96</v>
      </c>
      <c r="C176" s="7" t="s">
        <v>90</v>
      </c>
      <c r="D176" s="7">
        <v>25</v>
      </c>
      <c r="E176" s="7" t="s">
        <v>221</v>
      </c>
      <c r="F176" s="7">
        <v>2999054</v>
      </c>
      <c r="G176" s="23" t="s">
        <v>228</v>
      </c>
      <c r="H176" s="7" t="s">
        <v>5</v>
      </c>
      <c r="I176" s="8">
        <v>10</v>
      </c>
      <c r="J176" s="9">
        <v>15337259434</v>
      </c>
      <c r="K176" s="27">
        <v>0</v>
      </c>
      <c r="L176" s="27"/>
      <c r="M176" s="44">
        <f t="shared" si="92"/>
        <v>15337259434</v>
      </c>
      <c r="N176" s="27">
        <v>0</v>
      </c>
      <c r="O176" s="27">
        <v>355985538</v>
      </c>
      <c r="P176" s="27">
        <f t="shared" si="108"/>
        <v>14981273896</v>
      </c>
      <c r="Q176" s="9">
        <v>1482705</v>
      </c>
      <c r="R176" s="25">
        <f t="shared" si="65"/>
        <v>9.6673398945909756E-5</v>
      </c>
      <c r="S176" s="9">
        <v>1482705</v>
      </c>
      <c r="T176" s="10">
        <v>1482705</v>
      </c>
    </row>
    <row r="177" spans="1:20" ht="16.5" customHeight="1" x14ac:dyDescent="0.25">
      <c r="A177" s="81" t="s">
        <v>18</v>
      </c>
      <c r="B177" s="81"/>
      <c r="C177" s="81"/>
      <c r="D177" s="81"/>
      <c r="E177" s="81"/>
      <c r="F177" s="81"/>
      <c r="G177" s="82" t="s">
        <v>19</v>
      </c>
      <c r="H177" s="81" t="s">
        <v>5</v>
      </c>
      <c r="I177" s="83">
        <v>10</v>
      </c>
      <c r="J177" s="64">
        <f t="shared" ref="J177:Q177" si="109">J122+J154</f>
        <v>112961000000</v>
      </c>
      <c r="K177" s="64">
        <f t="shared" si="109"/>
        <v>65000000</v>
      </c>
      <c r="L177" s="64">
        <f t="shared" si="109"/>
        <v>65000000</v>
      </c>
      <c r="M177" s="64">
        <f t="shared" si="109"/>
        <v>112961000000</v>
      </c>
      <c r="N177" s="3">
        <f t="shared" si="109"/>
        <v>0</v>
      </c>
      <c r="O177" s="64">
        <f>O122+O154</f>
        <v>82931189628.889999</v>
      </c>
      <c r="P177" s="64">
        <f t="shared" si="109"/>
        <v>30029810371.110001</v>
      </c>
      <c r="Q177" s="64">
        <f t="shared" si="109"/>
        <v>66786405941.889999</v>
      </c>
      <c r="R177" s="76">
        <f t="shared" si="65"/>
        <v>0.59123419535848654</v>
      </c>
      <c r="S177" s="64">
        <f>S122+S154</f>
        <v>18874077020.880001</v>
      </c>
      <c r="T177" s="73">
        <f>T122+T154</f>
        <v>18796255192.220001</v>
      </c>
    </row>
    <row r="178" spans="1:20" ht="15" customHeight="1" x14ac:dyDescent="0.25">
      <c r="A178" s="81" t="s">
        <v>18</v>
      </c>
      <c r="B178" s="81"/>
      <c r="C178" s="81"/>
      <c r="D178" s="81"/>
      <c r="E178" s="81"/>
      <c r="F178" s="81"/>
      <c r="G178" s="82" t="s">
        <v>19</v>
      </c>
      <c r="H178" s="81" t="s">
        <v>8</v>
      </c>
      <c r="I178" s="83">
        <v>21</v>
      </c>
      <c r="J178" s="64">
        <f>J123</f>
        <v>1194647000</v>
      </c>
      <c r="K178" s="64">
        <f>K123</f>
        <v>0</v>
      </c>
      <c r="L178" s="64">
        <f>L123</f>
        <v>0</v>
      </c>
      <c r="M178" s="64">
        <f>M123</f>
        <v>1194647000</v>
      </c>
      <c r="N178" s="3">
        <v>0</v>
      </c>
      <c r="O178" s="64">
        <f>O123</f>
        <v>1194647000</v>
      </c>
      <c r="P178" s="64">
        <f>P123</f>
        <v>0</v>
      </c>
      <c r="Q178" s="64">
        <f>Q123</f>
        <v>1194647000</v>
      </c>
      <c r="R178" s="76">
        <f t="shared" si="65"/>
        <v>1</v>
      </c>
      <c r="S178" s="64">
        <f>S123</f>
        <v>0</v>
      </c>
      <c r="T178" s="73">
        <f>T123</f>
        <v>0</v>
      </c>
    </row>
    <row r="179" spans="1:20" s="5" customFormat="1" ht="13.5" customHeight="1" thickBot="1" x14ac:dyDescent="0.25">
      <c r="A179" s="132" t="s">
        <v>29</v>
      </c>
      <c r="B179" s="133"/>
      <c r="C179" s="133"/>
      <c r="D179" s="133"/>
      <c r="E179" s="133"/>
      <c r="F179" s="133"/>
      <c r="G179" s="133"/>
      <c r="H179" s="133"/>
      <c r="I179" s="134"/>
      <c r="J179" s="40">
        <f t="shared" ref="J179:Q179" si="110">SUM(J177:J178)</f>
        <v>114155647000</v>
      </c>
      <c r="K179" s="40">
        <f t="shared" si="110"/>
        <v>65000000</v>
      </c>
      <c r="L179" s="40">
        <f t="shared" si="110"/>
        <v>65000000</v>
      </c>
      <c r="M179" s="40">
        <f t="shared" si="110"/>
        <v>114155647000</v>
      </c>
      <c r="N179" s="40">
        <f t="shared" si="110"/>
        <v>0</v>
      </c>
      <c r="O179" s="40">
        <f>SUM(O177:O178)</f>
        <v>84125836628.889999</v>
      </c>
      <c r="P179" s="40">
        <f t="shared" si="110"/>
        <v>30029810371.110001</v>
      </c>
      <c r="Q179" s="40">
        <f t="shared" si="110"/>
        <v>67981052941.889999</v>
      </c>
      <c r="R179" s="42">
        <f t="shared" si="65"/>
        <v>0.59551195870222695</v>
      </c>
      <c r="S179" s="40">
        <f>SUM(S177:S178)</f>
        <v>18874077020.880001</v>
      </c>
      <c r="T179" s="53">
        <f>SUM(T177:T178)</f>
        <v>18796255192.220001</v>
      </c>
    </row>
    <row r="180" spans="1:20" s="15" customFormat="1" ht="11.25" customHeight="1" thickBot="1" x14ac:dyDescent="0.3">
      <c r="A180" s="132" t="s">
        <v>30</v>
      </c>
      <c r="B180" s="133"/>
      <c r="C180" s="133"/>
      <c r="D180" s="133"/>
      <c r="E180" s="133"/>
      <c r="F180" s="133"/>
      <c r="G180" s="133"/>
      <c r="H180" s="133"/>
      <c r="I180" s="133"/>
      <c r="J180" s="80">
        <f t="shared" ref="J180:Q180" si="111">+J179+J120</f>
        <v>503698560000</v>
      </c>
      <c r="K180" s="80">
        <f t="shared" si="111"/>
        <v>9037018568.8899994</v>
      </c>
      <c r="L180" s="80">
        <f t="shared" si="111"/>
        <v>9077022780.8899994</v>
      </c>
      <c r="M180" s="80">
        <f t="shared" si="111"/>
        <v>503698560000</v>
      </c>
      <c r="N180" s="79">
        <f t="shared" si="111"/>
        <v>29515700000</v>
      </c>
      <c r="O180" s="40">
        <f>+O179+O120</f>
        <v>318361355193.28003</v>
      </c>
      <c r="P180" s="40">
        <f>+P179+P120</f>
        <v>155821504806.72</v>
      </c>
      <c r="Q180" s="40">
        <f t="shared" si="111"/>
        <v>295535709115.28003</v>
      </c>
      <c r="R180" s="42">
        <f t="shared" si="65"/>
        <v>0.58673129642316235</v>
      </c>
      <c r="S180" s="40">
        <f>+S179+S120</f>
        <v>231638725702.39999</v>
      </c>
      <c r="T180" s="53">
        <f>+T179+T120</f>
        <v>231325864923.73999</v>
      </c>
    </row>
    <row r="181" spans="1:20" s="15" customFormat="1" ht="6.75" customHeight="1" x14ac:dyDescent="0.25">
      <c r="A181" s="109"/>
      <c r="B181" s="109"/>
      <c r="C181" s="109"/>
      <c r="D181" s="109"/>
      <c r="E181" s="109"/>
      <c r="F181" s="109"/>
      <c r="G181" s="109"/>
      <c r="H181" s="109"/>
      <c r="I181" s="109"/>
      <c r="J181" s="104"/>
      <c r="K181" s="104"/>
      <c r="L181" s="104"/>
      <c r="M181" s="104">
        <f>J180-M180</f>
        <v>0</v>
      </c>
      <c r="N181" s="104"/>
      <c r="O181" s="104"/>
      <c r="P181" s="104"/>
      <c r="Q181" s="104"/>
      <c r="R181" s="110"/>
      <c r="S181" s="104"/>
      <c r="T181" s="104"/>
    </row>
    <row r="182" spans="1:20" s="15" customFormat="1" ht="9" customHeight="1" x14ac:dyDescent="0.25">
      <c r="A182" s="15" t="s">
        <v>32</v>
      </c>
      <c r="E182" s="16"/>
      <c r="F182" s="17"/>
      <c r="G182" s="18"/>
      <c r="H182" s="19"/>
      <c r="I182" s="20"/>
      <c r="J182" s="20"/>
      <c r="K182" s="20"/>
      <c r="L182" s="20"/>
      <c r="M182" s="104"/>
      <c r="N182" s="60"/>
      <c r="O182" s="45"/>
      <c r="P182" s="21"/>
      <c r="Q182" s="30"/>
      <c r="R182" s="21"/>
      <c r="S182" s="66"/>
      <c r="T182" s="66"/>
    </row>
    <row r="183" spans="1:20" s="15" customFormat="1" ht="9" customHeight="1" x14ac:dyDescent="0.25">
      <c r="A183" s="15" t="s">
        <v>215</v>
      </c>
      <c r="E183" s="16"/>
      <c r="F183" s="17"/>
      <c r="G183" s="18"/>
      <c r="H183" s="19"/>
      <c r="I183" s="20"/>
      <c r="J183" s="20"/>
      <c r="K183" s="20"/>
      <c r="L183" s="20"/>
      <c r="N183" s="66"/>
      <c r="O183" s="28"/>
      <c r="P183" s="21">
        <f>N29</f>
        <v>0</v>
      </c>
      <c r="Q183" s="31"/>
      <c r="R183" s="21"/>
    </row>
    <row r="184" spans="1:20" s="15" customFormat="1" ht="9" customHeight="1" x14ac:dyDescent="0.25">
      <c r="A184" s="15" t="s">
        <v>214</v>
      </c>
      <c r="E184" s="16"/>
      <c r="F184" s="17"/>
      <c r="G184" s="18"/>
      <c r="H184" s="19"/>
      <c r="I184" s="20"/>
      <c r="J184" s="20"/>
      <c r="K184" s="20"/>
      <c r="L184" s="111"/>
      <c r="M184" s="66"/>
      <c r="N184" s="21"/>
      <c r="O184" s="67"/>
      <c r="P184" s="21">
        <f>P180-[1]REP_EPG034_EjecucionPresupuesta!$W$33</f>
        <v>0</v>
      </c>
      <c r="Q184" s="31"/>
      <c r="R184" s="21"/>
    </row>
    <row r="185" spans="1:20" x14ac:dyDescent="0.25">
      <c r="A185" s="15" t="s">
        <v>236</v>
      </c>
      <c r="B185" s="15"/>
      <c r="C185" s="15"/>
      <c r="D185" s="15"/>
      <c r="E185" s="16"/>
      <c r="F185" s="17"/>
      <c r="G185" s="18"/>
      <c r="H185" s="19"/>
      <c r="I185" s="20"/>
      <c r="J185" s="20"/>
      <c r="K185" s="20"/>
      <c r="L185" s="20"/>
      <c r="M185" s="15"/>
      <c r="N185" s="66"/>
      <c r="O185" s="28"/>
      <c r="P185" s="21"/>
      <c r="Q185" s="31"/>
      <c r="R185" s="21"/>
      <c r="S185" s="15"/>
      <c r="T185" s="15"/>
    </row>
    <row r="186" spans="1:20" x14ac:dyDescent="0.25">
      <c r="L186" s="112"/>
    </row>
    <row r="188" spans="1:20" x14ac:dyDescent="0.25">
      <c r="O188" s="120">
        <f>O36+O45-[1]REP_EPG034_EjecucionPresupuesta!$V$8</f>
        <v>0</v>
      </c>
      <c r="Q188" s="121">
        <f>Q45+Q36-[1]REP_EPG034_EjecucionPresupuesta!$X$8</f>
        <v>0</v>
      </c>
    </row>
    <row r="189" spans="1:20" x14ac:dyDescent="0.25">
      <c r="Q189" s="120"/>
    </row>
  </sheetData>
  <mergeCells count="13">
    <mergeCell ref="A2:T2"/>
    <mergeCell ref="A1:F1"/>
    <mergeCell ref="A121:T121"/>
    <mergeCell ref="A179:I179"/>
    <mergeCell ref="A180:I180"/>
    <mergeCell ref="A34:I34"/>
    <mergeCell ref="A35:T35"/>
    <mergeCell ref="A90:I90"/>
    <mergeCell ref="A91:T91"/>
    <mergeCell ref="A115:I115"/>
    <mergeCell ref="A120:I120"/>
    <mergeCell ref="A104:T104"/>
    <mergeCell ref="A103:I10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MAYO 31-2025
&amp;R
Página &amp;P de &amp;N</oddHeader>
  </headerFooter>
  <ignoredErrors>
    <ignoredError sqref="N52:N57 P98 N23:N31 F113 H113:I113 C33:I33 Q33 G23:I26 H27:I27 G28:I31 H52:I53 H55:I57 C18:D18 C19:E26 C3:E4 I4 C45:I46 C100:F100 C36 C5:F17 C27:F32 M88 N96:Q96 P112 N112 M106:Q106 M105 M107:O107 M110:O111 C101 Q107 S89:T90 S94:T97 S103:T103 S110:T111 S105:T107 O105 Q92 B105:E114 Q110:Q111 B94:B102 F101 H101 B92:I93 S92:T92 C102:I102 N103:O103 N33:O34 S33:T34 F105:I112 C95:I96 C87:I89 B162:D163 O89:Q89 B154:E154 F157 F159:F160 F162:F163 F171:F172 B149:C149 B155:D160 B161:L161 N161 C86:F86 B86:B89 B45:B47 C47:F47 B168:L168 B164:C167 L167 N95:O95 Q94:Q95 N97:O97 Q97 Q105 Q103 C37:F43 B169:D172 B3:B33 B150:D153 F150:F153 E164:F164 H164:I165 K165 H166:L166 E166:F166 H167:I167 F169:I169 K169 C94:F94 H94:I94 C98:I99 C97:F97 H97:I97 B173:C176 B140:D140 I86 B36:B43 B44:F44 I58:I84 B51:F85 F48 B48:E48 B49:F50 O90:Q90 O88" numberStoredAsText="1"/>
    <ignoredError sqref="M18:N18 N114 P18 P100 M26 M97 M100 M149:P149 M170:P170 M173:N173 P125 A116:K116 G125:I125 G127:I127 A141:A148 E124:L124 E128:F128 E132:L132 G141:I141 G144:I144 A121:T121 A118:Q119 S117:T119 M125:N125 M128:N128 H145:R145 E126:M126 H128:L128 E136:I136 H146:I146 P144 M129:N129 G129:I131 L130:N130 G147:I148 L137:N137 G137:I139 M138:N139 M156:N156 P128:P131 P146:P148 A123:F123 H123:I123 P127 P134:P135 P137:P139 M158:N158 M157:N157 P157 P107 N124:O124 Q124 G142:H143 N142:N143 M127 E133:O133 Q116 A117:O117 Q117 A122:I122 Q132:Q133 G134:I135 M144:N144 M116:O116 M146:M148 N132:O132 P161 K125 K127 K129 K131:N131 K134:N135 K138:K139 K142 K144 K146 K148 A124:A139 K136:R136 J155:O155 P155:Q155 S155:T155 A120:R120 T120 P156 P158 P173 P167 M164 P164 P126:Q126 S145:T145 S124:T124 S132:T133 S136:T136 S126:T126 R18 R3:R4 R26 R33:R34 R36 R45:R47 R92:R97 R105:R112 R113:R119 R122:R124 R126:R128 R140:R141 R149 R154:R158 R161:R164 R166:R175 R177:R180 R132:R133 R98:R103 N126 R87:R90 P26 L46 N45" formula="1"/>
    <ignoredError sqref="P110:P111 N105 P94 M169 M167:N167 M168:P168 M166:N166 M161 P165 M165 B145:F145 B141:F141 P169 F125 F127 F129:F131 B136:D139 F137:F139 B142:D144 F142:F144 B146:D148 B134:F135 B124:D133 F146:F148 P16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AGOSTO-31-2025</vt:lpstr>
      <vt:lpstr>'AGOSTO-31-2025'!Área_de_impresión</vt:lpstr>
      <vt:lpstr>'AGOSTO-31-2025'!Títulos_a_imprimir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2025-05-05T13:25:00Z</cp:lastPrinted>
  <dcterms:created xsi:type="dcterms:W3CDTF">2016-02-01T15:56:25Z</dcterms:created>
  <dcterms:modified xsi:type="dcterms:W3CDTF">2025-10-30T18:45:08Z</dcterms:modified>
</cp:coreProperties>
</file>