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Abril/"/>
    </mc:Choice>
  </mc:AlternateContent>
  <xr:revisionPtr revIDLastSave="0" documentId="8_{08339E39-D659-4F2A-A18E-866AF1BA34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RIL-30-2025" sheetId="11" r:id="rId1"/>
  </sheets>
  <definedNames>
    <definedName name="_xlnm._FilterDatabase" localSheetId="0" hidden="1">'ABRIL-30-2025'!$A$4:$IY$183</definedName>
    <definedName name="_xlnm.Print_Area" localSheetId="0">'ABRIL-30-2025'!$A$1:$T$183</definedName>
    <definedName name="_xlnm.Print_Titles" localSheetId="0">'ABRIL-30-2025'!$1:$1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5" i="11" l="1"/>
  <c r="S45" i="11"/>
  <c r="Q45" i="11"/>
  <c r="O45" i="11"/>
  <c r="K61" i="11"/>
  <c r="K60" i="11"/>
  <c r="N45" i="11"/>
  <c r="J45" i="11"/>
  <c r="L80" i="11"/>
  <c r="K81" i="11"/>
  <c r="K65" i="11"/>
  <c r="R63" i="11"/>
  <c r="M63" i="11"/>
  <c r="P63" i="11" s="1"/>
  <c r="K57" i="11"/>
  <c r="K56" i="11"/>
  <c r="K53" i="11"/>
  <c r="K44" i="11"/>
  <c r="K77" i="11"/>
  <c r="K37" i="11"/>
  <c r="K59" i="11"/>
  <c r="L82" i="11"/>
  <c r="K71" i="11"/>
  <c r="L61" i="11"/>
  <c r="L54" i="11"/>
  <c r="L51" i="11"/>
  <c r="L66" i="11"/>
  <c r="L59" i="11"/>
  <c r="L58" i="11"/>
  <c r="K54" i="11"/>
  <c r="K52" i="11"/>
  <c r="R48" i="11"/>
  <c r="M48" i="11"/>
  <c r="P48" i="11" s="1"/>
  <c r="K66" i="11"/>
  <c r="K64" i="11"/>
  <c r="L56" i="11"/>
  <c r="L53" i="11"/>
  <c r="O124" i="11"/>
  <c r="O47" i="11"/>
  <c r="R174" i="11" l="1"/>
  <c r="R173" i="11"/>
  <c r="R163" i="11"/>
  <c r="R160" i="11"/>
  <c r="R158" i="11"/>
  <c r="R157" i="11"/>
  <c r="R155" i="11"/>
  <c r="R151" i="11"/>
  <c r="R150" i="11"/>
  <c r="R146" i="11"/>
  <c r="R145" i="11"/>
  <c r="R144" i="11"/>
  <c r="R137" i="11"/>
  <c r="R136" i="11"/>
  <c r="R110" i="11"/>
  <c r="R99" i="11"/>
  <c r="R98" i="11"/>
  <c r="R92" i="11"/>
  <c r="R81" i="11"/>
  <c r="R73" i="11"/>
  <c r="R72" i="11"/>
  <c r="R62" i="11"/>
  <c r="R50" i="11"/>
  <c r="R49" i="11"/>
  <c r="R44" i="11"/>
  <c r="R43" i="11"/>
  <c r="R40" i="11"/>
  <c r="R32" i="11"/>
  <c r="L77" i="11"/>
  <c r="K51" i="11"/>
  <c r="K38" i="11"/>
  <c r="P158" i="11"/>
  <c r="T126" i="11"/>
  <c r="S126" i="11"/>
  <c r="Q126" i="11"/>
  <c r="O126" i="11"/>
  <c r="O138" i="11" l="1"/>
  <c r="O139" i="11"/>
  <c r="M49" i="11"/>
  <c r="M50" i="11"/>
  <c r="P50" i="11" s="1"/>
  <c r="M52" i="11"/>
  <c r="R52" i="11" s="1"/>
  <c r="M54" i="11"/>
  <c r="R54" i="11" s="1"/>
  <c r="M56" i="11"/>
  <c r="R56" i="11" s="1"/>
  <c r="M57" i="11"/>
  <c r="R57" i="11" s="1"/>
  <c r="M58" i="11"/>
  <c r="R58" i="11" s="1"/>
  <c r="M59" i="11"/>
  <c r="R59" i="11" s="1"/>
  <c r="M60" i="11"/>
  <c r="R60" i="11" s="1"/>
  <c r="M61" i="11"/>
  <c r="R61" i="11" s="1"/>
  <c r="M62" i="11"/>
  <c r="P62" i="11" s="1"/>
  <c r="M64" i="11"/>
  <c r="R64" i="11" s="1"/>
  <c r="M66" i="11"/>
  <c r="R66" i="11" s="1"/>
  <c r="M67" i="11"/>
  <c r="R67" i="11" s="1"/>
  <c r="M68" i="11"/>
  <c r="R68" i="11" s="1"/>
  <c r="M69" i="11"/>
  <c r="R69" i="11" s="1"/>
  <c r="M70" i="11"/>
  <c r="R70" i="11" s="1"/>
  <c r="M72" i="11"/>
  <c r="M73" i="11"/>
  <c r="M47" i="11" s="1"/>
  <c r="M74" i="11"/>
  <c r="R74" i="11" s="1"/>
  <c r="M75" i="11"/>
  <c r="R75" i="11" s="1"/>
  <c r="M79" i="11"/>
  <c r="R79" i="11" s="1"/>
  <c r="M82" i="11"/>
  <c r="R82" i="11" s="1"/>
  <c r="M83" i="11"/>
  <c r="R83" i="11" s="1"/>
  <c r="M84" i="11"/>
  <c r="R84" i="11" s="1"/>
  <c r="M81" i="11"/>
  <c r="K80" i="11"/>
  <c r="M80" i="11" s="1"/>
  <c r="R80" i="11" s="1"/>
  <c r="L55" i="11"/>
  <c r="M51" i="11"/>
  <c r="R51" i="11" s="1"/>
  <c r="K55" i="11"/>
  <c r="M55" i="11" s="1"/>
  <c r="R55" i="11" s="1"/>
  <c r="M77" i="11"/>
  <c r="R77" i="11" s="1"/>
  <c r="M53" i="11"/>
  <c r="R53" i="11" s="1"/>
  <c r="M65" i="11"/>
  <c r="R65" i="11" s="1"/>
  <c r="T36" i="11"/>
  <c r="S36" i="11"/>
  <c r="Q36" i="11"/>
  <c r="O36" i="11"/>
  <c r="N36" i="11"/>
  <c r="L36" i="11"/>
  <c r="J36" i="11"/>
  <c r="M44" i="11"/>
  <c r="K36" i="11"/>
  <c r="L71" i="11"/>
  <c r="M71" i="11" s="1"/>
  <c r="R71" i="11" s="1"/>
  <c r="T162" i="11"/>
  <c r="S162" i="11"/>
  <c r="Q162" i="11"/>
  <c r="R162" i="11" s="1"/>
  <c r="O162" i="11"/>
  <c r="N162" i="11"/>
  <c r="L162" i="11"/>
  <c r="K162" i="11"/>
  <c r="J162" i="11"/>
  <c r="O164" i="11"/>
  <c r="O159" i="11"/>
  <c r="O156" i="11"/>
  <c r="O154" i="11"/>
  <c r="K76" i="11"/>
  <c r="M76" i="11" s="1"/>
  <c r="R76" i="11" s="1"/>
  <c r="K78" i="11"/>
  <c r="M78" i="11" s="1"/>
  <c r="N91" i="11"/>
  <c r="N90" i="11" s="1"/>
  <c r="J134" i="11"/>
  <c r="L45" i="11" l="1"/>
  <c r="K45" i="11"/>
  <c r="R78" i="11"/>
  <c r="M45" i="11"/>
  <c r="P44" i="11"/>
  <c r="J154" i="11"/>
  <c r="T138" i="11"/>
  <c r="S138" i="11"/>
  <c r="Q138" i="11"/>
  <c r="N138" i="11"/>
  <c r="L138" i="11"/>
  <c r="K138" i="11"/>
  <c r="J138" i="11"/>
  <c r="J46" i="11"/>
  <c r="J105" i="11"/>
  <c r="T139" i="11"/>
  <c r="S139" i="11"/>
  <c r="Q139" i="11"/>
  <c r="N139" i="11"/>
  <c r="L139" i="11"/>
  <c r="K139" i="11"/>
  <c r="J139" i="11"/>
  <c r="T91" i="11"/>
  <c r="S91" i="11"/>
  <c r="Q91" i="11"/>
  <c r="R91" i="11" s="1"/>
  <c r="O91" i="11"/>
  <c r="L91" i="11"/>
  <c r="K91" i="11"/>
  <c r="J91" i="11"/>
  <c r="J90" i="11" s="1"/>
  <c r="J171" i="11"/>
  <c r="Q156" i="11"/>
  <c r="M173" i="11"/>
  <c r="P173" i="11" s="1"/>
  <c r="M172" i="11"/>
  <c r="T171" i="11"/>
  <c r="S171" i="11"/>
  <c r="Q171" i="11"/>
  <c r="O171" i="11"/>
  <c r="L168" i="11"/>
  <c r="K168" i="11"/>
  <c r="K171" i="11"/>
  <c r="L171" i="11"/>
  <c r="M110" i="11"/>
  <c r="M107" i="11"/>
  <c r="R107" i="11" s="1"/>
  <c r="M106" i="11"/>
  <c r="M123" i="11"/>
  <c r="L105" i="11"/>
  <c r="R45" i="11" l="1"/>
  <c r="P172" i="11"/>
  <c r="R172" i="11"/>
  <c r="M122" i="11"/>
  <c r="R123" i="11"/>
  <c r="P106" i="11"/>
  <c r="R106" i="11"/>
  <c r="M140" i="11"/>
  <c r="R140" i="11" s="1"/>
  <c r="M141" i="11"/>
  <c r="S124" i="11"/>
  <c r="T124" i="11"/>
  <c r="P141" i="11" l="1"/>
  <c r="R141" i="11"/>
  <c r="M138" i="11"/>
  <c r="R138" i="11" s="1"/>
  <c r="P140" i="11"/>
  <c r="P138" i="11" l="1"/>
  <c r="J98" i="11"/>
  <c r="J95" i="11"/>
  <c r="M40" i="11" l="1"/>
  <c r="P59" i="11" l="1"/>
  <c r="P67" i="11"/>
  <c r="P75" i="11" l="1"/>
  <c r="P76" i="11" l="1"/>
  <c r="Q85" i="11" l="1"/>
  <c r="M41" i="11"/>
  <c r="J94" i="11"/>
  <c r="J93" i="11" s="1"/>
  <c r="J100" i="11" s="1"/>
  <c r="J101" i="11" s="1"/>
  <c r="T26" i="11"/>
  <c r="T18" i="11"/>
  <c r="T4" i="11"/>
  <c r="P41" i="11" l="1"/>
  <c r="R41" i="11"/>
  <c r="K85" i="11"/>
  <c r="S85" i="11"/>
  <c r="T3" i="11"/>
  <c r="M5" i="11" l="1"/>
  <c r="R5" i="11" s="1"/>
  <c r="M6" i="11"/>
  <c r="R6" i="11" s="1"/>
  <c r="M7" i="11"/>
  <c r="R7" i="11" s="1"/>
  <c r="M8" i="11"/>
  <c r="R8" i="11" s="1"/>
  <c r="M9" i="11"/>
  <c r="R9" i="11" s="1"/>
  <c r="M10" i="11"/>
  <c r="R10" i="11" s="1"/>
  <c r="M11" i="11"/>
  <c r="R11" i="11" s="1"/>
  <c r="M12" i="11"/>
  <c r="R12" i="11" s="1"/>
  <c r="M13" i="11"/>
  <c r="R13" i="11" s="1"/>
  <c r="M14" i="11"/>
  <c r="R14" i="11" s="1"/>
  <c r="M15" i="11"/>
  <c r="R15" i="11" s="1"/>
  <c r="M16" i="11"/>
  <c r="R16" i="11" s="1"/>
  <c r="M17" i="11"/>
  <c r="R17" i="11" s="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R27" i="11" s="1"/>
  <c r="M28" i="11"/>
  <c r="R28" i="11" s="1"/>
  <c r="M29" i="11"/>
  <c r="R29" i="11" s="1"/>
  <c r="M30" i="11"/>
  <c r="R30" i="11" s="1"/>
  <c r="M31" i="11"/>
  <c r="R31" i="11" s="1"/>
  <c r="M32" i="11"/>
  <c r="M37" i="11"/>
  <c r="M38" i="11"/>
  <c r="R38" i="11" s="1"/>
  <c r="P40" i="11"/>
  <c r="M42" i="11"/>
  <c r="M43" i="11"/>
  <c r="J126" i="11"/>
  <c r="J147" i="11"/>
  <c r="J143" i="11"/>
  <c r="N171" i="11"/>
  <c r="T168" i="11"/>
  <c r="S168" i="11"/>
  <c r="Q168" i="11"/>
  <c r="O168" i="11"/>
  <c r="N168" i="11"/>
  <c r="J168" i="11"/>
  <c r="T166" i="11"/>
  <c r="S166" i="11"/>
  <c r="Q166" i="11"/>
  <c r="O166" i="11"/>
  <c r="N166" i="11"/>
  <c r="L166" i="11"/>
  <c r="K166" i="11"/>
  <c r="J166" i="11"/>
  <c r="T164" i="11"/>
  <c r="S164" i="11"/>
  <c r="Q164" i="11"/>
  <c r="N164" i="11"/>
  <c r="L164" i="11"/>
  <c r="K164" i="11"/>
  <c r="J164" i="11"/>
  <c r="T159" i="11"/>
  <c r="S159" i="11"/>
  <c r="Q159" i="11"/>
  <c r="N159" i="11"/>
  <c r="L159" i="11"/>
  <c r="K159" i="11"/>
  <c r="J159" i="11"/>
  <c r="T156" i="11"/>
  <c r="S156" i="11"/>
  <c r="N156" i="11"/>
  <c r="L156" i="11"/>
  <c r="K156" i="11"/>
  <c r="J156" i="11"/>
  <c r="T154" i="11"/>
  <c r="S154" i="11"/>
  <c r="Q154" i="11"/>
  <c r="R154" i="11" s="1"/>
  <c r="N154" i="11"/>
  <c r="L154" i="11"/>
  <c r="K154" i="11"/>
  <c r="T147" i="11"/>
  <c r="S147" i="11"/>
  <c r="Q147" i="11"/>
  <c r="O147" i="11"/>
  <c r="N147" i="11"/>
  <c r="L147" i="11"/>
  <c r="K147" i="11"/>
  <c r="K143" i="11"/>
  <c r="T143" i="11"/>
  <c r="S143" i="11"/>
  <c r="Q143" i="11"/>
  <c r="R143" i="11" s="1"/>
  <c r="O143" i="11"/>
  <c r="N143" i="11"/>
  <c r="L143" i="11"/>
  <c r="L134" i="11"/>
  <c r="K134" i="11"/>
  <c r="T134" i="11"/>
  <c r="S134" i="11"/>
  <c r="Q134" i="11"/>
  <c r="O134" i="11"/>
  <c r="N134" i="11"/>
  <c r="T131" i="11"/>
  <c r="T121" i="11" s="1"/>
  <c r="S131" i="11"/>
  <c r="S121" i="11" s="1"/>
  <c r="Q131" i="11"/>
  <c r="O131" i="11"/>
  <c r="O121" i="11" s="1"/>
  <c r="N131" i="11"/>
  <c r="N121" i="11" s="1"/>
  <c r="L131" i="11"/>
  <c r="L121" i="11" s="1"/>
  <c r="K131" i="11"/>
  <c r="K121" i="11" s="1"/>
  <c r="J131" i="11"/>
  <c r="J121" i="11" s="1"/>
  <c r="T130" i="11"/>
  <c r="S130" i="11"/>
  <c r="Q130" i="11"/>
  <c r="O130" i="11"/>
  <c r="N130" i="11"/>
  <c r="L130" i="11"/>
  <c r="K130" i="11"/>
  <c r="J130" i="11"/>
  <c r="N126" i="11"/>
  <c r="L126" i="11"/>
  <c r="K126" i="11"/>
  <c r="J124" i="11"/>
  <c r="T122" i="11"/>
  <c r="S122" i="11"/>
  <c r="Q122" i="11"/>
  <c r="R122" i="11" s="1"/>
  <c r="O122" i="11"/>
  <c r="J122" i="11"/>
  <c r="P42" i="11" l="1"/>
  <c r="R42" i="11"/>
  <c r="T120" i="11"/>
  <c r="R37" i="11"/>
  <c r="Q121" i="11"/>
  <c r="S120" i="11"/>
  <c r="O153" i="11"/>
  <c r="O152" i="11" s="1"/>
  <c r="J153" i="11"/>
  <c r="J152" i="11" s="1"/>
  <c r="J120" i="11"/>
  <c r="K153" i="11"/>
  <c r="K152" i="11" s="1"/>
  <c r="N153" i="11"/>
  <c r="N152" i="11" s="1"/>
  <c r="L153" i="11"/>
  <c r="L152" i="11" s="1"/>
  <c r="Q153" i="11"/>
  <c r="T153" i="11"/>
  <c r="T152" i="11" s="1"/>
  <c r="S153" i="11"/>
  <c r="S152" i="11" s="1"/>
  <c r="M39" i="11"/>
  <c r="R39" i="11" s="1"/>
  <c r="P51" i="11"/>
  <c r="L124" i="11"/>
  <c r="K124" i="11"/>
  <c r="Q124" i="11"/>
  <c r="O120" i="11"/>
  <c r="N124" i="11"/>
  <c r="N122" i="11"/>
  <c r="N120" i="11" s="1"/>
  <c r="L122" i="11"/>
  <c r="K122" i="11"/>
  <c r="M155" i="11"/>
  <c r="M157" i="11"/>
  <c r="M156" i="11" s="1"/>
  <c r="R156" i="11" s="1"/>
  <c r="M160" i="11"/>
  <c r="M161" i="11"/>
  <c r="R161" i="11" s="1"/>
  <c r="M163" i="11"/>
  <c r="M162" i="11" s="1"/>
  <c r="M165" i="11"/>
  <c r="R165" i="11" s="1"/>
  <c r="M167" i="11"/>
  <c r="R167" i="11" s="1"/>
  <c r="M169" i="11"/>
  <c r="R169" i="11" s="1"/>
  <c r="M170" i="11"/>
  <c r="M174" i="11"/>
  <c r="M125" i="11"/>
  <c r="M127" i="11"/>
  <c r="M128" i="11"/>
  <c r="R128" i="11" s="1"/>
  <c r="M129" i="11"/>
  <c r="R129" i="11" s="1"/>
  <c r="M132" i="11"/>
  <c r="M133" i="11"/>
  <c r="R133" i="11" s="1"/>
  <c r="M135" i="11"/>
  <c r="R135" i="11" s="1"/>
  <c r="M136" i="11"/>
  <c r="M137" i="11"/>
  <c r="M142" i="11"/>
  <c r="M144" i="11"/>
  <c r="M145" i="11"/>
  <c r="M146" i="11"/>
  <c r="M148" i="11"/>
  <c r="R148" i="11" s="1"/>
  <c r="M149" i="11"/>
  <c r="R149" i="11" s="1"/>
  <c r="M150" i="11"/>
  <c r="M151" i="11"/>
  <c r="P151" i="11" s="1"/>
  <c r="P107" i="11"/>
  <c r="M92" i="11"/>
  <c r="M91" i="11" s="1"/>
  <c r="M96" i="11"/>
  <c r="R96" i="11" s="1"/>
  <c r="M97" i="11"/>
  <c r="R97" i="11" s="1"/>
  <c r="M99" i="11"/>
  <c r="P82" i="11"/>
  <c r="P170" i="11" l="1"/>
  <c r="R170" i="11"/>
  <c r="M124" i="11"/>
  <c r="R124" i="11" s="1"/>
  <c r="R125" i="11"/>
  <c r="M126" i="11"/>
  <c r="R126" i="11" s="1"/>
  <c r="R127" i="11"/>
  <c r="M130" i="11"/>
  <c r="R130" i="11" s="1"/>
  <c r="R132" i="11"/>
  <c r="Q152" i="11"/>
  <c r="M139" i="11"/>
  <c r="R139" i="11" s="1"/>
  <c r="R142" i="11"/>
  <c r="M36" i="11"/>
  <c r="M85" i="11" s="1"/>
  <c r="Q120" i="11"/>
  <c r="K120" i="11"/>
  <c r="L120" i="11"/>
  <c r="P174" i="11"/>
  <c r="P171" i="11" s="1"/>
  <c r="M171" i="11"/>
  <c r="R171" i="11" s="1"/>
  <c r="M168" i="11"/>
  <c r="R168" i="11" s="1"/>
  <c r="M147" i="11"/>
  <c r="R147" i="11" s="1"/>
  <c r="P169" i="11"/>
  <c r="O175" i="11"/>
  <c r="M164" i="11"/>
  <c r="R164" i="11" s="1"/>
  <c r="P165" i="11"/>
  <c r="P125" i="11"/>
  <c r="P124" i="11" s="1"/>
  <c r="M154" i="11"/>
  <c r="P155" i="11"/>
  <c r="P154" i="11" s="1"/>
  <c r="P135" i="11"/>
  <c r="M131" i="11"/>
  <c r="R131" i="11" s="1"/>
  <c r="P133" i="11"/>
  <c r="P131" i="11" s="1"/>
  <c r="P136" i="11"/>
  <c r="M166" i="11"/>
  <c r="R166" i="11" s="1"/>
  <c r="M134" i="11"/>
  <c r="R134" i="11" s="1"/>
  <c r="M143" i="11"/>
  <c r="M159" i="11"/>
  <c r="R159" i="11" s="1"/>
  <c r="P142" i="11"/>
  <c r="P139" i="11" s="1"/>
  <c r="K176" i="11"/>
  <c r="R36" i="11" l="1"/>
  <c r="P121" i="11"/>
  <c r="M120" i="11"/>
  <c r="R120" i="11" s="1"/>
  <c r="M121" i="11"/>
  <c r="M153" i="11"/>
  <c r="R153" i="11" s="1"/>
  <c r="T175" i="11"/>
  <c r="S175" i="11"/>
  <c r="Q175" i="11"/>
  <c r="J86" i="11"/>
  <c r="J116" i="11" s="1"/>
  <c r="T176" i="11"/>
  <c r="S176" i="11"/>
  <c r="Q176" i="11"/>
  <c r="P161" i="11"/>
  <c r="P150" i="11"/>
  <c r="P149" i="11"/>
  <c r="P146" i="11"/>
  <c r="P145" i="11"/>
  <c r="P137" i="11"/>
  <c r="P134" i="11" s="1"/>
  <c r="P129" i="11"/>
  <c r="P128" i="11"/>
  <c r="P37" i="11"/>
  <c r="P38" i="11"/>
  <c r="P52" i="11"/>
  <c r="P53" i="11"/>
  <c r="P54" i="11"/>
  <c r="P55" i="11"/>
  <c r="P56" i="11"/>
  <c r="P57" i="11"/>
  <c r="P58" i="11"/>
  <c r="P60" i="11"/>
  <c r="P61" i="11"/>
  <c r="P64" i="11"/>
  <c r="P65" i="11"/>
  <c r="P66" i="11"/>
  <c r="P68" i="11"/>
  <c r="P69" i="11"/>
  <c r="P70" i="11"/>
  <c r="P71" i="11"/>
  <c r="P72" i="11"/>
  <c r="P73" i="11"/>
  <c r="P47" i="11" s="1"/>
  <c r="P74" i="11"/>
  <c r="P77" i="11"/>
  <c r="P78" i="11"/>
  <c r="P79" i="11"/>
  <c r="P80" i="11"/>
  <c r="P81" i="11"/>
  <c r="P83" i="11"/>
  <c r="P84" i="11"/>
  <c r="P49" i="11"/>
  <c r="P39" i="11"/>
  <c r="P43" i="11"/>
  <c r="L176" i="11"/>
  <c r="L109" i="11"/>
  <c r="L104" i="11" s="1"/>
  <c r="L112" i="11" s="1"/>
  <c r="L115" i="11" s="1"/>
  <c r="K109" i="11"/>
  <c r="K104" i="11" s="1"/>
  <c r="K112" i="11" s="1"/>
  <c r="K115" i="11" s="1"/>
  <c r="L103" i="11"/>
  <c r="L111" i="11" s="1"/>
  <c r="K105" i="11"/>
  <c r="K103" i="11" s="1"/>
  <c r="K111" i="11" s="1"/>
  <c r="L95" i="11"/>
  <c r="L94" i="11" s="1"/>
  <c r="L93" i="11" s="1"/>
  <c r="K95" i="11"/>
  <c r="K94" i="11" s="1"/>
  <c r="K93" i="11" s="1"/>
  <c r="L90" i="11"/>
  <c r="K90" i="11"/>
  <c r="L47" i="11"/>
  <c r="K47" i="11"/>
  <c r="L46" i="11"/>
  <c r="L86" i="11" s="1"/>
  <c r="K46" i="11"/>
  <c r="K86" i="11" s="1"/>
  <c r="L85" i="11"/>
  <c r="L26" i="11"/>
  <c r="K26" i="11"/>
  <c r="L18" i="11"/>
  <c r="K18" i="11"/>
  <c r="L4" i="11"/>
  <c r="K4" i="11"/>
  <c r="J176" i="11"/>
  <c r="J109" i="11"/>
  <c r="J108" i="11" s="1"/>
  <c r="J104" i="11" s="1"/>
  <c r="J112" i="11" s="1"/>
  <c r="J115" i="11" s="1"/>
  <c r="J103" i="11"/>
  <c r="J111" i="11" s="1"/>
  <c r="J47" i="11"/>
  <c r="J87" i="11" s="1"/>
  <c r="J117" i="11" s="1"/>
  <c r="J26" i="11"/>
  <c r="J18" i="11"/>
  <c r="J4" i="11"/>
  <c r="O176" i="11"/>
  <c r="P45" i="11" l="1"/>
  <c r="M176" i="11"/>
  <c r="R121" i="11"/>
  <c r="R176" i="11"/>
  <c r="R85" i="11"/>
  <c r="P36" i="11"/>
  <c r="K116" i="11"/>
  <c r="K88" i="11"/>
  <c r="K100" i="11"/>
  <c r="K101" i="11" s="1"/>
  <c r="S177" i="11"/>
  <c r="M98" i="11"/>
  <c r="Q177" i="11"/>
  <c r="M95" i="11"/>
  <c r="L87" i="11"/>
  <c r="L88" i="11" s="1"/>
  <c r="L116" i="11"/>
  <c r="J175" i="11"/>
  <c r="J177" i="11" s="1"/>
  <c r="M4" i="11"/>
  <c r="L175" i="11"/>
  <c r="L177" i="11" s="1"/>
  <c r="K175" i="11"/>
  <c r="K177" i="11" s="1"/>
  <c r="K113" i="11"/>
  <c r="L113" i="11"/>
  <c r="L100" i="11"/>
  <c r="L101" i="11" s="1"/>
  <c r="L3" i="11"/>
  <c r="L33" i="11" s="1"/>
  <c r="L34" i="11" s="1"/>
  <c r="K3" i="11"/>
  <c r="K33" i="11" s="1"/>
  <c r="K34" i="11" s="1"/>
  <c r="N175" i="11"/>
  <c r="J113" i="11"/>
  <c r="J85" i="11"/>
  <c r="J88" i="11" s="1"/>
  <c r="J3" i="11"/>
  <c r="Q46" i="11"/>
  <c r="R46" i="11" s="1"/>
  <c r="Q47" i="11"/>
  <c r="R47" i="11" s="1"/>
  <c r="O46" i="11"/>
  <c r="O86" i="11" s="1"/>
  <c r="M87" i="11"/>
  <c r="M46" i="11"/>
  <c r="M90" i="11"/>
  <c r="P97" i="11"/>
  <c r="P99" i="11"/>
  <c r="P98" i="11" s="1"/>
  <c r="O98" i="11"/>
  <c r="N98" i="11"/>
  <c r="S26" i="11"/>
  <c r="Q26" i="11"/>
  <c r="O26" i="11"/>
  <c r="M26" i="11"/>
  <c r="S18" i="11"/>
  <c r="Q18" i="11"/>
  <c r="O18" i="11"/>
  <c r="M18" i="11"/>
  <c r="S4" i="11"/>
  <c r="Q4" i="11"/>
  <c r="O4" i="11"/>
  <c r="R18" i="11" l="1"/>
  <c r="R26" i="11"/>
  <c r="R4" i="11"/>
  <c r="L114" i="11"/>
  <c r="J33" i="11"/>
  <c r="J34" i="11" s="1"/>
  <c r="M94" i="11"/>
  <c r="L117" i="11"/>
  <c r="K114" i="11"/>
  <c r="O90" i="11"/>
  <c r="O85" i="11"/>
  <c r="N85" i="11"/>
  <c r="P27" i="11"/>
  <c r="M86" i="11"/>
  <c r="N46" i="11"/>
  <c r="N86" i="11" s="1"/>
  <c r="N116" i="11" s="1"/>
  <c r="O116" i="11"/>
  <c r="Q86" i="11"/>
  <c r="R86" i="11" s="1"/>
  <c r="S46" i="11"/>
  <c r="S86" i="11" s="1"/>
  <c r="T46" i="11"/>
  <c r="T86" i="11" s="1"/>
  <c r="M117" i="11"/>
  <c r="N47" i="11"/>
  <c r="N87" i="11" s="1"/>
  <c r="N117" i="11" s="1"/>
  <c r="O87" i="11"/>
  <c r="O117" i="11" s="1"/>
  <c r="S47" i="11"/>
  <c r="S87" i="11" s="1"/>
  <c r="S117" i="11" s="1"/>
  <c r="T47" i="11"/>
  <c r="T87" i="11" s="1"/>
  <c r="T117" i="11" s="1"/>
  <c r="P157" i="11"/>
  <c r="P156" i="11" s="1"/>
  <c r="P160" i="11"/>
  <c r="P159" i="11" s="1"/>
  <c r="P163" i="11"/>
  <c r="P162" i="11" s="1"/>
  <c r="P164" i="11"/>
  <c r="P167" i="11"/>
  <c r="P166" i="11" s="1"/>
  <c r="P168" i="11"/>
  <c r="P127" i="11"/>
  <c r="P126" i="11" s="1"/>
  <c r="P132" i="11"/>
  <c r="P130" i="11" s="1"/>
  <c r="P144" i="11"/>
  <c r="P143" i="11" s="1"/>
  <c r="P148" i="11"/>
  <c r="P147" i="11" s="1"/>
  <c r="P123" i="11"/>
  <c r="P122" i="11" s="1"/>
  <c r="S105" i="11"/>
  <c r="S111" i="11" s="1"/>
  <c r="P92" i="11"/>
  <c r="P91" i="11" s="1"/>
  <c r="T90" i="11"/>
  <c r="S90" i="11"/>
  <c r="Q105" i="11"/>
  <c r="Q90" i="11"/>
  <c r="R90" i="11" s="1"/>
  <c r="N100" i="11"/>
  <c r="Q95" i="11"/>
  <c r="N4" i="11"/>
  <c r="O105" i="11"/>
  <c r="O103" i="11" s="1"/>
  <c r="M105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32" i="11"/>
  <c r="P96" i="11"/>
  <c r="P95" i="11" s="1"/>
  <c r="T105" i="11"/>
  <c r="T103" i="11" s="1"/>
  <c r="O95" i="11"/>
  <c r="O94" i="11" s="1"/>
  <c r="O93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5" i="11"/>
  <c r="N111" i="11" s="1"/>
  <c r="N95" i="11"/>
  <c r="N109" i="11"/>
  <c r="N108" i="11" s="1"/>
  <c r="N104" i="11" s="1"/>
  <c r="P110" i="11"/>
  <c r="T109" i="11"/>
  <c r="T108" i="11" s="1"/>
  <c r="T104" i="11" s="1"/>
  <c r="T112" i="11" s="1"/>
  <c r="S109" i="11"/>
  <c r="S108" i="11" s="1"/>
  <c r="S104" i="11" s="1"/>
  <c r="S112" i="11" s="1"/>
  <c r="Q109" i="11"/>
  <c r="R109" i="11" s="1"/>
  <c r="O109" i="11"/>
  <c r="O108" i="11" s="1"/>
  <c r="O104" i="11" s="1"/>
  <c r="O112" i="11" s="1"/>
  <c r="O115" i="11" s="1"/>
  <c r="M109" i="11"/>
  <c r="M108" i="11" s="1"/>
  <c r="T95" i="11"/>
  <c r="T94" i="11" s="1"/>
  <c r="T93" i="11" s="1"/>
  <c r="S95" i="11"/>
  <c r="S94" i="11" s="1"/>
  <c r="S93" i="11" s="1"/>
  <c r="Q94" i="11" l="1"/>
  <c r="R95" i="11"/>
  <c r="Q111" i="11"/>
  <c r="R105" i="11"/>
  <c r="M116" i="11"/>
  <c r="M88" i="11"/>
  <c r="P120" i="11"/>
  <c r="P153" i="11"/>
  <c r="P152" i="11" s="1"/>
  <c r="P105" i="11"/>
  <c r="O100" i="11"/>
  <c r="O101" i="11" s="1"/>
  <c r="P176" i="11"/>
  <c r="M93" i="11"/>
  <c r="L118" i="11"/>
  <c r="L178" i="11" s="1"/>
  <c r="M103" i="11"/>
  <c r="T100" i="11"/>
  <c r="T101" i="11" s="1"/>
  <c r="S100" i="11"/>
  <c r="S101" i="11" s="1"/>
  <c r="P90" i="11"/>
  <c r="P18" i="11"/>
  <c r="P4" i="11"/>
  <c r="P26" i="11"/>
  <c r="T85" i="11"/>
  <c r="T88" i="11" s="1"/>
  <c r="O111" i="11"/>
  <c r="O113" i="11" s="1"/>
  <c r="P85" i="11"/>
  <c r="Q87" i="11"/>
  <c r="N88" i="11"/>
  <c r="P46" i="11"/>
  <c r="P87" i="11"/>
  <c r="P117" i="11" s="1"/>
  <c r="N177" i="11"/>
  <c r="O3" i="11"/>
  <c r="O33" i="11" s="1"/>
  <c r="O34" i="11" s="1"/>
  <c r="N112" i="11"/>
  <c r="N115" i="11" s="1"/>
  <c r="P94" i="11"/>
  <c r="P93" i="11" s="1"/>
  <c r="P100" i="11" s="1"/>
  <c r="P101" i="11" s="1"/>
  <c r="N3" i="11"/>
  <c r="N33" i="11" s="1"/>
  <c r="N34" i="11" s="1"/>
  <c r="N103" i="11"/>
  <c r="T111" i="11"/>
  <c r="S103" i="11"/>
  <c r="Q103" i="11"/>
  <c r="O88" i="11"/>
  <c r="T33" i="11"/>
  <c r="S3" i="11"/>
  <c r="S33" i="11" s="1"/>
  <c r="S34" i="11" s="1"/>
  <c r="Q3" i="11"/>
  <c r="M3" i="11"/>
  <c r="M33" i="11" s="1"/>
  <c r="M34" i="11" s="1"/>
  <c r="T116" i="11"/>
  <c r="S116" i="11"/>
  <c r="N101" i="11"/>
  <c r="S113" i="11"/>
  <c r="S115" i="11"/>
  <c r="M104" i="11"/>
  <c r="M112" i="11" s="1"/>
  <c r="M115" i="11" s="1"/>
  <c r="P108" i="11"/>
  <c r="P104" i="11" s="1"/>
  <c r="P112" i="11" s="1"/>
  <c r="P115" i="11" s="1"/>
  <c r="T115" i="11"/>
  <c r="Q116" i="11"/>
  <c r="R116" i="11" s="1"/>
  <c r="P109" i="11"/>
  <c r="Q108" i="11"/>
  <c r="R108" i="11" s="1"/>
  <c r="R3" i="11" l="1"/>
  <c r="R103" i="11"/>
  <c r="Q117" i="11"/>
  <c r="R117" i="11" s="1"/>
  <c r="R87" i="11"/>
  <c r="Q93" i="11"/>
  <c r="R94" i="11"/>
  <c r="P175" i="11"/>
  <c r="P177" i="11" s="1"/>
  <c r="P3" i="11"/>
  <c r="P33" i="11" s="1"/>
  <c r="P34" i="11" s="1"/>
  <c r="P103" i="11"/>
  <c r="P111" i="11"/>
  <c r="M100" i="11"/>
  <c r="S88" i="11"/>
  <c r="S114" i="11"/>
  <c r="T34" i="11"/>
  <c r="T114" i="11"/>
  <c r="T118" i="11" s="1"/>
  <c r="J114" i="11"/>
  <c r="J118" i="11" s="1"/>
  <c r="J178" i="11" s="1"/>
  <c r="M111" i="11"/>
  <c r="R111" i="11" s="1"/>
  <c r="T177" i="11"/>
  <c r="O177" i="11"/>
  <c r="Q88" i="11"/>
  <c r="R88" i="11" s="1"/>
  <c r="P86" i="11"/>
  <c r="P116" i="11" s="1"/>
  <c r="N113" i="11"/>
  <c r="T113" i="11"/>
  <c r="Q33" i="11"/>
  <c r="R33" i="11" s="1"/>
  <c r="O114" i="11"/>
  <c r="O118" i="11" s="1"/>
  <c r="Q104" i="11"/>
  <c r="R104" i="11" s="1"/>
  <c r="N114" i="11"/>
  <c r="N118" i="11" s="1"/>
  <c r="N178" i="11" s="1"/>
  <c r="R93" i="11" l="1"/>
  <c r="Q100" i="11"/>
  <c r="Q114" i="11" s="1"/>
  <c r="O178" i="11"/>
  <c r="S118" i="11"/>
  <c r="S178" i="11" s="1"/>
  <c r="M101" i="11"/>
  <c r="P114" i="11"/>
  <c r="P118" i="11" s="1"/>
  <c r="P178" i="11" s="1"/>
  <c r="M113" i="11"/>
  <c r="T178" i="11"/>
  <c r="Q34" i="11"/>
  <c r="R34" i="11" s="1"/>
  <c r="M114" i="11"/>
  <c r="P88" i="11"/>
  <c r="Q112" i="11"/>
  <c r="R112" i="11" s="1"/>
  <c r="P113" i="11"/>
  <c r="R114" i="11" l="1"/>
  <c r="R100" i="11"/>
  <c r="Q101" i="11"/>
  <c r="R101" i="11" s="1"/>
  <c r="M118" i="11"/>
  <c r="Q115" i="11"/>
  <c r="R115" i="11" s="1"/>
  <c r="Q113" i="11"/>
  <c r="R113" i="11" s="1"/>
  <c r="Q118" i="11" l="1"/>
  <c r="Q178" i="11" l="1"/>
  <c r="R118" i="11"/>
  <c r="M152" i="11"/>
  <c r="R152" i="11" s="1"/>
  <c r="M175" i="11" l="1"/>
  <c r="M177" i="11" l="1"/>
  <c r="R175" i="11"/>
  <c r="M178" i="11" l="1"/>
  <c r="R177" i="11"/>
  <c r="K117" i="11"/>
  <c r="K118" i="11"/>
  <c r="R178" i="11" l="1"/>
  <c r="M179" i="11"/>
  <c r="K178" i="11"/>
  <c r="L181" i="11" s="1"/>
</calcChain>
</file>

<file path=xl/sharedStrings.xml><?xml version="1.0" encoding="utf-8"?>
<sst xmlns="http://schemas.openxmlformats.org/spreadsheetml/2006/main" count="1202" uniqueCount="236">
  <si>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</si>
  <si>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</si>
  <si>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</si>
  <si>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</si>
  <si>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</si>
  <si>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</si>
  <si>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</si>
  <si>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</si>
  <si>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</si>
  <si>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</si>
  <si>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</si>
  <si>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</si>
  <si>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</si>
  <si>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</si>
  <si>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</si>
  <si>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</si>
  <si>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</si>
  <si>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</si>
  <si>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</si>
  <si>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</si>
  <si>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</si>
  <si>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</si>
  <si>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</si>
  <si>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</si>
  <si>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</si>
  <si>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</si>
  <si>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</si>
  <si>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</si>
  <si>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</si>
  <si>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</si>
  <si>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</si>
  <si>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</si>
  <si>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</si>
  <si>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</si>
  <si>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</si>
  <si>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</si>
  <si>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</si>
  <si>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</si>
  <si>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</si>
  <si>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</si>
  <si>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</si>
  <si>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</si>
  <si>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</si>
  <si>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</si>
  <si>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</si>
  <si>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</si>
  <si>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</si>
  <si>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</si>
  <si>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</si>
  <si>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</si>
  <si>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</si>
  <si>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</si>
  <si>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</si>
  <si>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</si>
  <si>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</si>
  <si>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</si>
  <si>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</si>
  <si>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</si>
  <si>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</si>
  <si>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</si>
  <si>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</si>
  <si>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</si>
  <si>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</si>
  <si>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</si>
  <si>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</si>
  <si>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</si>
  <si>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</si>
  <si>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</si>
  <si>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</si>
  <si>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</si>
  <si>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</si>
  <si>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</si>
  <si>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</si>
  <si>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</si>
  <si>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</si>
  <si>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</si>
  <si>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</si>
  <si>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</si>
  <si>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</si>
  <si>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</si>
  <si>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</si>
  <si>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</si>
  <si>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</si>
  <si>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</si>
  <si>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</si>
  <si>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</si>
  <si>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</si>
  <si>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</si>
  <si>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</si>
  <si>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</si>
  <si>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</si>
  <si>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</si>
  <si>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</si>
  <si>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</si>
  <si>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</si>
  <si>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</si>
  <si>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</si>
  <si>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</si>
  <si>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</si>
  <si>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</si>
  <si>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</si>
  <si>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</si>
  <si>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</si>
  <si>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</si>
  <si>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</si>
  <si>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</si>
  <si>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</si>
  <si>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</si>
  <si>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</si>
  <si>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</si>
  <si>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</si>
  <si>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</si>
  <si>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</si>
  <si>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</si>
  <si>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</si>
  <si>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</si>
  <si>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</si>
  <si>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</si>
  <si>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</si>
  <si>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</si>
  <si>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</si>
  <si>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</si>
  <si>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</si>
  <si>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</si>
  <si>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</si>
  <si>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</si>
  <si>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</si>
  <si>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</si>
  <si>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</si>
  <si>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</si>
  <si>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</si>
  <si>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</si>
  <si>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</si>
  <si>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</si>
  <si>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</si>
  <si>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</si>
  <si>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</si>
  <si>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</si>
  <si>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</si>
  <si>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</si>
  <si>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</si>
  <si>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</si>
  <si>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</si>
  <si>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</si>
  <si>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</si>
  <si>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</si>
  <si>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</si>
  <si>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</si>
  <si>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</si>
  <si>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</si>
  <si>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</si>
  <si>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</si>
  <si>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</si>
  <si>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</si>
  <si>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</si>
  <si>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</si>
  <si>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</si>
  <si>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</si>
  <si>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</si>
  <si>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</si>
  <si>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</si>
  <si>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</si>
  <si>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</si>
  <si>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</si>
  <si>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</si>
  <si>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</si>
  <si>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</si>
  <si>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</si>
  <si>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</si>
  <si>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</si>
  <si>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</si>
  <si>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</si>
  <si>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</si>
  <si>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</si>
  <si>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</si>
  <si>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</si>
  <si>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</si>
  <si>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</si>
  <si>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</si>
  <si>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</si>
  <si>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</si>
  <si>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</si>
  <si>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</si>
  <si>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</si>
  <si>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</si>
  <si>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</si>
  <si>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</si>
  <si>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</si>
  <si>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</si>
  <si>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</si>
  <si>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</si>
  <si>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</si>
  <si>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</si>
  <si>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</si>
  <si>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</si>
  <si>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</si>
  <si>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</si>
  <si>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</si>
  <si>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</si>
  <si>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</si>
  <si>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</si>
  <si>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</si>
  <si>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</si>
  <si>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</si>
  <si>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</si>
  <si>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</si>
  <si>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</si>
  <si>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</si>
  <si>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</si>
  <si>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</si>
  <si>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</si>
  <si>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</si>
  <si>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</si>
  <si>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</si>
  <si>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</si>
  <si>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</si>
  <si>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</si>
  <si>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</si>
  <si>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</si>
  <si>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</si>
  <si>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</si>
  <si>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</si>
  <si>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</si>
  <si>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</si>
  <si>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</si>
  <si>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</si>
  <si>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</si>
  <si>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</si>
  <si>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</si>
  <si>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</si>
  <si>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</si>
  <si>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</si>
  <si>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</si>
  <si>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</si>
  <si>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</si>
  <si>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Fecha-Mayo-05-2025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</si>
</sst>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4"/>
  <sheetViews>
    <sheetView showGridLines="0" tabSelected="1" zoomScale="140" zoomScaleNormal="140" workbookViewId="0">
      <pane xSplit="9" ySplit="2" topLeftCell="K3" activePane="bottomRight" state="frozen"/>
      <selection pane="topRight" activeCell="J1" sqref="J1"/>
      <selection pane="bottomLeft" activeCell="A3" sqref="A3"/>
      <selection pane="bottomRight" activeCell="P178" sqref="P178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3" t="s">
        <v>216</v>
      </c>
      <c r="B1" s="124"/>
      <c r="C1" s="124"/>
      <c r="D1" s="124"/>
      <c r="E1" s="124"/>
      <c r="F1" s="125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0" t="s">
        <v>87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0</v>
      </c>
      <c r="L3" s="103">
        <f t="shared" si="0"/>
        <v>0</v>
      </c>
      <c r="M3" s="103">
        <f>M4+M18+M26</f>
        <v>306184300000</v>
      </c>
      <c r="N3" s="37">
        <f>N4+N18+N26</f>
        <v>0</v>
      </c>
      <c r="O3" s="37">
        <f>O4+O18+O26</f>
        <v>82644235800</v>
      </c>
      <c r="P3" s="103">
        <f>P4+P18+P26</f>
        <v>223540064200</v>
      </c>
      <c r="Q3" s="37">
        <f>Q4+Q18+Q26</f>
        <v>82644235800</v>
      </c>
      <c r="R3" s="38">
        <f>IF(Q3&gt;1,Q3/(M3),0)</f>
        <v>0.26991663452371661</v>
      </c>
      <c r="S3" s="37">
        <f>S4+S18+S26</f>
        <v>76578546058</v>
      </c>
      <c r="T3" s="39">
        <f>T4+T18+T26</f>
        <v>76578546058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0</v>
      </c>
      <c r="L4" s="24">
        <f t="shared" si="1"/>
        <v>0</v>
      </c>
      <c r="M4" s="24">
        <f>SUM(M5:M17)</f>
        <v>205807200000</v>
      </c>
      <c r="N4" s="24">
        <f>SUM(N5:N17)</f>
        <v>0</v>
      </c>
      <c r="O4" s="24">
        <f>SUM(O5:O17)</f>
        <v>52474890903</v>
      </c>
      <c r="P4" s="24">
        <f>SUM(P5:P17)</f>
        <v>153332309097</v>
      </c>
      <c r="Q4" s="24">
        <f>SUM(Q5:Q17)</f>
        <v>52474890903</v>
      </c>
      <c r="R4" s="96">
        <f t="shared" ref="R4:R34" si="2">IF(Q4&gt;1,Q4/(M4),0)</f>
        <v>0.2549711132700897</v>
      </c>
      <c r="S4" s="14">
        <f>SUM(S5:S17)</f>
        <v>52474890903</v>
      </c>
      <c r="T4" s="33">
        <f>SUM(T5:T17)</f>
        <v>52474890903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46701890890</v>
      </c>
      <c r="P5" s="27">
        <f t="shared" ref="P5:P17" si="3">+M5-O5-N5</f>
        <v>102033315982</v>
      </c>
      <c r="Q5" s="9">
        <v>46701890890</v>
      </c>
      <c r="R5" s="25">
        <f t="shared" si="2"/>
        <v>0.31399351822726929</v>
      </c>
      <c r="S5" s="9">
        <v>46701890890</v>
      </c>
      <c r="T5" s="10">
        <v>46701890890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895415824</v>
      </c>
      <c r="P6" s="27">
        <f t="shared" si="3"/>
        <v>2101898695</v>
      </c>
      <c r="Q6" s="9">
        <v>895415824</v>
      </c>
      <c r="R6" s="25">
        <f t="shared" si="2"/>
        <v>0.2987393609592694</v>
      </c>
      <c r="S6" s="9">
        <v>895415824</v>
      </c>
      <c r="T6" s="10">
        <v>895415824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471156367</v>
      </c>
      <c r="P7" s="27">
        <f t="shared" si="3"/>
        <v>1023098743</v>
      </c>
      <c r="Q7" s="9">
        <v>471156367</v>
      </c>
      <c r="R7" s="25">
        <f t="shared" si="2"/>
        <v>0.31531186599054029</v>
      </c>
      <c r="S7" s="9">
        <v>471156367</v>
      </c>
      <c r="T7" s="10">
        <v>471156367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89284503</v>
      </c>
      <c r="P8" s="27">
        <f t="shared" si="3"/>
        <v>209479317</v>
      </c>
      <c r="Q8" s="9">
        <v>89284503</v>
      </c>
      <c r="R8" s="25">
        <f t="shared" si="2"/>
        <v>0.29884643662676424</v>
      </c>
      <c r="S8" s="9">
        <v>89284503</v>
      </c>
      <c r="T8" s="10">
        <v>89284503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191326662</v>
      </c>
      <c r="P9" s="27">
        <f t="shared" si="3"/>
        <v>292535478</v>
      </c>
      <c r="Q9" s="9">
        <v>191326662</v>
      </c>
      <c r="R9" s="25">
        <f t="shared" si="2"/>
        <v>0.39541564876309604</v>
      </c>
      <c r="S9" s="9">
        <v>191326662</v>
      </c>
      <c r="T9" s="10">
        <v>191326662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/>
      <c r="L10" s="27"/>
      <c r="M10" s="27">
        <f t="shared" si="4"/>
        <v>6968238074</v>
      </c>
      <c r="N10" s="9">
        <v>0</v>
      </c>
      <c r="O10" s="9">
        <v>116123076</v>
      </c>
      <c r="P10" s="27">
        <f t="shared" si="3"/>
        <v>6852114998</v>
      </c>
      <c r="Q10" s="9">
        <v>116123076</v>
      </c>
      <c r="R10" s="25">
        <f t="shared" si="2"/>
        <v>1.6664625227613885E-2</v>
      </c>
      <c r="S10" s="9">
        <v>116123076</v>
      </c>
      <c r="T10" s="10">
        <v>116123076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2326634208</v>
      </c>
      <c r="P11" s="27">
        <f t="shared" si="3"/>
        <v>2580815839</v>
      </c>
      <c r="Q11" s="9">
        <v>2326634208</v>
      </c>
      <c r="R11" s="25">
        <f t="shared" si="2"/>
        <v>0.47410247393599197</v>
      </c>
      <c r="S11" s="9">
        <v>2326634208</v>
      </c>
      <c r="T11" s="10">
        <v>2326634208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299176119</v>
      </c>
      <c r="P12" s="27">
        <f t="shared" si="3"/>
        <v>925651484</v>
      </c>
      <c r="Q12" s="9">
        <v>299176119</v>
      </c>
      <c r="R12" s="25">
        <f t="shared" si="2"/>
        <v>0.24425977849227162</v>
      </c>
      <c r="S12" s="9">
        <v>299176119</v>
      </c>
      <c r="T12" s="10">
        <v>299176119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/>
      <c r="M13" s="27">
        <f t="shared" si="4"/>
        <v>16735066390</v>
      </c>
      <c r="N13" s="9">
        <v>0</v>
      </c>
      <c r="O13" s="9">
        <v>49247289</v>
      </c>
      <c r="P13" s="27">
        <f t="shared" si="3"/>
        <v>16685819101</v>
      </c>
      <c r="Q13" s="9">
        <v>49247289</v>
      </c>
      <c r="R13" s="25">
        <f t="shared" si="2"/>
        <v>2.9427603005762562E-3</v>
      </c>
      <c r="S13" s="9">
        <v>49247289</v>
      </c>
      <c r="T13" s="10">
        <v>49247289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1291575176</v>
      </c>
      <c r="P14" s="27">
        <f t="shared" si="3"/>
        <v>6678094318</v>
      </c>
      <c r="Q14" s="9">
        <v>1291575176</v>
      </c>
      <c r="R14" s="25">
        <f t="shared" si="2"/>
        <v>0.16206132223831465</v>
      </c>
      <c r="S14" s="9">
        <v>1291575176</v>
      </c>
      <c r="T14" s="51">
        <v>1291575176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11469881</v>
      </c>
      <c r="P15" s="27">
        <f t="shared" si="3"/>
        <v>28485693</v>
      </c>
      <c r="Q15" s="9">
        <v>11469881</v>
      </c>
      <c r="R15" s="25">
        <f t="shared" si="2"/>
        <v>0.28706585469151313</v>
      </c>
      <c r="S15" s="9">
        <v>11469881</v>
      </c>
      <c r="T15" s="51">
        <v>11469881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5295004</v>
      </c>
      <c r="P16" s="27">
        <f t="shared" si="3"/>
        <v>13873545</v>
      </c>
      <c r="Q16" s="9">
        <v>5295004</v>
      </c>
      <c r="R16" s="25">
        <f t="shared" si="2"/>
        <v>0.27623394968497617</v>
      </c>
      <c r="S16" s="9">
        <v>5295004</v>
      </c>
      <c r="T16" s="51">
        <v>5295004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26295904</v>
      </c>
      <c r="P17" s="27">
        <f t="shared" si="3"/>
        <v>13907125904</v>
      </c>
      <c r="Q17" s="9">
        <v>26295904</v>
      </c>
      <c r="R17" s="25">
        <f t="shared" si="2"/>
        <v>1.8872538535295018E-3</v>
      </c>
      <c r="S17" s="27">
        <v>26295904</v>
      </c>
      <c r="T17" s="51">
        <v>26295904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27309573662</v>
      </c>
      <c r="P18" s="24">
        <f>SUM(P19:P25)</f>
        <v>57523526338</v>
      </c>
      <c r="Q18" s="14">
        <f>SUM(Q19:Q25)</f>
        <v>27309573662</v>
      </c>
      <c r="R18" s="26">
        <f t="shared" si="2"/>
        <v>0.32192120365753463</v>
      </c>
      <c r="S18" s="14">
        <f>SUM(S19:S25)</f>
        <v>21243883920</v>
      </c>
      <c r="T18" s="22">
        <f>SUM(T19:T25)</f>
        <v>21243883920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6546058800</v>
      </c>
      <c r="P19" s="27">
        <f t="shared" ref="P19:P25" si="6">+M19-O19-N19</f>
        <v>16043741445</v>
      </c>
      <c r="Q19" s="9">
        <v>6546058800</v>
      </c>
      <c r="R19" s="25">
        <f t="shared" si="2"/>
        <v>0.28977940172130989</v>
      </c>
      <c r="S19" s="9">
        <v>6546058800</v>
      </c>
      <c r="T19" s="51">
        <v>6546058800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4603319100</v>
      </c>
      <c r="P20" s="27">
        <f t="shared" si="6"/>
        <v>11241910416</v>
      </c>
      <c r="Q20" s="9">
        <v>4603319100</v>
      </c>
      <c r="R20" s="25">
        <f t="shared" si="2"/>
        <v>0.29051766623839165</v>
      </c>
      <c r="S20" s="9">
        <v>4603319100</v>
      </c>
      <c r="T20" s="51">
        <v>4603319100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2566026920</v>
      </c>
      <c r="P21" s="27">
        <f t="shared" si="6"/>
        <v>16970051327</v>
      </c>
      <c r="Q21" s="9">
        <v>2566026920</v>
      </c>
      <c r="R21" s="25">
        <f t="shared" si="2"/>
        <v>0.13134810823119242</v>
      </c>
      <c r="S21" s="9">
        <v>2566026920</v>
      </c>
      <c r="T21" s="51">
        <v>2566026920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2232253000</v>
      </c>
      <c r="P22" s="27">
        <f t="shared" si="6"/>
        <v>5923278002</v>
      </c>
      <c r="Q22" s="9">
        <v>2232253000</v>
      </c>
      <c r="R22" s="25">
        <f t="shared" si="2"/>
        <v>0.27371031995986272</v>
      </c>
      <c r="S22" s="9">
        <v>2232253000</v>
      </c>
      <c r="T22" s="51">
        <v>2232253000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8571239642</v>
      </c>
      <c r="R23" s="25">
        <f t="shared" si="2"/>
        <v>1</v>
      </c>
      <c r="S23" s="9">
        <v>2505549900</v>
      </c>
      <c r="T23" s="51">
        <v>2505549900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1674346200</v>
      </c>
      <c r="P24" s="27">
        <f t="shared" si="6"/>
        <v>4432195434</v>
      </c>
      <c r="Q24" s="9">
        <v>1674346200</v>
      </c>
      <c r="R24" s="25">
        <f t="shared" si="2"/>
        <v>0.27418894365307783</v>
      </c>
      <c r="S24" s="9">
        <v>1674346200</v>
      </c>
      <c r="T24" s="51">
        <v>1674346200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1116330000</v>
      </c>
      <c r="P25" s="27">
        <f t="shared" si="6"/>
        <v>2912349714</v>
      </c>
      <c r="Q25" s="9">
        <v>1116330000</v>
      </c>
      <c r="R25" s="25">
        <f t="shared" si="2"/>
        <v>0.27709574333265052</v>
      </c>
      <c r="S25" s="9">
        <v>1116330000</v>
      </c>
      <c r="T25" s="51">
        <v>1116330000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2859771235</v>
      </c>
      <c r="P26" s="24">
        <f>P27+P28+P29+P30+P31+P32</f>
        <v>12684228765</v>
      </c>
      <c r="Q26" s="14">
        <f>Q27+Q28+Q29+Q30+Q31+Q32</f>
        <v>2859771235</v>
      </c>
      <c r="R26" s="26">
        <f t="shared" si="2"/>
        <v>0.18397910672928461</v>
      </c>
      <c r="S26" s="24">
        <f>S27+S28+S29+S30+S31+S32</f>
        <v>2859771235</v>
      </c>
      <c r="T26" s="22">
        <f>T27+T28+T29+T30+T31+T32</f>
        <v>2859771235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1941807374</v>
      </c>
      <c r="P27" s="27">
        <f t="shared" ref="P27:P32" si="9">+M27-O27-N27</f>
        <v>10167242431</v>
      </c>
      <c r="Q27" s="9">
        <v>1941807374</v>
      </c>
      <c r="R27" s="25">
        <f t="shared" si="2"/>
        <v>0.16036001216199475</v>
      </c>
      <c r="S27" s="9">
        <v>1941807374</v>
      </c>
      <c r="T27" s="51">
        <v>1941807374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10">J28+K28-L28</f>
        <v>458862190</v>
      </c>
      <c r="N28" s="9">
        <v>0</v>
      </c>
      <c r="O28" s="9">
        <v>204963854</v>
      </c>
      <c r="P28" s="27">
        <f t="shared" si="9"/>
        <v>253898336</v>
      </c>
      <c r="Q28" s="9">
        <v>204963854</v>
      </c>
      <c r="R28" s="25">
        <f t="shared" si="2"/>
        <v>0.44667845481014679</v>
      </c>
      <c r="S28" s="9">
        <v>204963854</v>
      </c>
      <c r="T28" s="51">
        <v>204963854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10"/>
        <v>819318216</v>
      </c>
      <c r="N29" s="9">
        <v>0</v>
      </c>
      <c r="O29" s="9">
        <v>148600878</v>
      </c>
      <c r="P29" s="27">
        <f t="shared" si="9"/>
        <v>670717338</v>
      </c>
      <c r="Q29" s="9">
        <v>148600878</v>
      </c>
      <c r="R29" s="25">
        <f t="shared" si="2"/>
        <v>0.18137138305734923</v>
      </c>
      <c r="S29" s="9">
        <v>148600878</v>
      </c>
      <c r="T29" s="51">
        <v>148600878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10"/>
        <v>564704052</v>
      </c>
      <c r="N30" s="9">
        <v>0</v>
      </c>
      <c r="O30" s="9">
        <v>125596262</v>
      </c>
      <c r="P30" s="27">
        <f t="shared" si="9"/>
        <v>439107790</v>
      </c>
      <c r="Q30" s="9">
        <v>125596262</v>
      </c>
      <c r="R30" s="25">
        <f t="shared" si="2"/>
        <v>0.22241076818056904</v>
      </c>
      <c r="S30" s="9">
        <v>125596262</v>
      </c>
      <c r="T30" s="51">
        <v>125596262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10"/>
        <v>1496829460</v>
      </c>
      <c r="N31" s="9">
        <v>0</v>
      </c>
      <c r="O31" s="9">
        <v>438802867</v>
      </c>
      <c r="P31" s="27">
        <f t="shared" si="9"/>
        <v>1058026593</v>
      </c>
      <c r="Q31" s="9">
        <v>438802867</v>
      </c>
      <c r="R31" s="25">
        <f t="shared" si="2"/>
        <v>0.29315488419101532</v>
      </c>
      <c r="S31" s="9">
        <v>438802867</v>
      </c>
      <c r="T31" s="51">
        <v>438802867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10"/>
        <v>95236277</v>
      </c>
      <c r="N32" s="9">
        <v>0</v>
      </c>
      <c r="O32" s="9">
        <v>0</v>
      </c>
      <c r="P32" s="27">
        <f t="shared" si="9"/>
        <v>95236277</v>
      </c>
      <c r="Q32" s="9">
        <v>0</v>
      </c>
      <c r="R32" s="25">
        <f t="shared" si="2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1">K3</f>
        <v>0</v>
      </c>
      <c r="L33" s="64">
        <f t="shared" si="11"/>
        <v>0</v>
      </c>
      <c r="M33" s="64">
        <f>M3</f>
        <v>306184300000</v>
      </c>
      <c r="N33" s="64">
        <f>N3</f>
        <v>0</v>
      </c>
      <c r="O33" s="64">
        <f>O3</f>
        <v>82644235800</v>
      </c>
      <c r="P33" s="64">
        <f>P3</f>
        <v>223540064200</v>
      </c>
      <c r="Q33" s="64">
        <f>Q3</f>
        <v>82644235800</v>
      </c>
      <c r="R33" s="76">
        <f t="shared" si="2"/>
        <v>0.26991663452371661</v>
      </c>
      <c r="S33" s="64">
        <f>S3</f>
        <v>76578546058</v>
      </c>
      <c r="T33" s="73">
        <f>T3</f>
        <v>76578546058</v>
      </c>
      <c r="U33" s="105"/>
    </row>
    <row r="34" spans="1:21" ht="15" customHeight="1" thickBot="1" x14ac:dyDescent="0.3">
      <c r="A34" s="132" t="s">
        <v>25</v>
      </c>
      <c r="B34" s="133"/>
      <c r="C34" s="133"/>
      <c r="D34" s="133"/>
      <c r="E34" s="133"/>
      <c r="F34" s="133"/>
      <c r="G34" s="133"/>
      <c r="H34" s="133"/>
      <c r="I34" s="134"/>
      <c r="J34" s="77">
        <f>J33</f>
        <v>306184300000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306184300000</v>
      </c>
      <c r="N34" s="77">
        <f t="shared" si="13"/>
        <v>0</v>
      </c>
      <c r="O34" s="77">
        <f t="shared" si="13"/>
        <v>82644235800</v>
      </c>
      <c r="P34" s="77">
        <f t="shared" si="13"/>
        <v>223540064200</v>
      </c>
      <c r="Q34" s="77">
        <f t="shared" si="13"/>
        <v>82644235800</v>
      </c>
      <c r="R34" s="76">
        <f t="shared" si="2"/>
        <v>0.26991663452371661</v>
      </c>
      <c r="S34" s="77">
        <f t="shared" si="13"/>
        <v>76578546058</v>
      </c>
      <c r="T34" s="78">
        <f t="shared" si="13"/>
        <v>76578546058</v>
      </c>
    </row>
    <row r="35" spans="1:21" ht="15.75" customHeight="1" thickBot="1" x14ac:dyDescent="0.3">
      <c r="A35" s="126" t="s">
        <v>102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 t="shared" ref="K36:P36" si="14">K37+K38+K39+K40+K41+K42+K43+K44</f>
        <v>614827314</v>
      </c>
      <c r="L36" s="48">
        <f t="shared" si="14"/>
        <v>1339328</v>
      </c>
      <c r="M36" s="48">
        <f>M37+M38+M39+M40+M41+M42+M43+M44</f>
        <v>842691659</v>
      </c>
      <c r="N36" s="48">
        <f t="shared" si="14"/>
        <v>0</v>
      </c>
      <c r="O36" s="48">
        <f t="shared" si="14"/>
        <v>587019850</v>
      </c>
      <c r="P36" s="48">
        <f t="shared" si="14"/>
        <v>255671809</v>
      </c>
      <c r="Q36" s="48">
        <f>Q37+Q38+Q39+Q40+Q41+Q42+Q43+Q44</f>
        <v>135719850</v>
      </c>
      <c r="R36" s="62">
        <f t="shared" ref="R36:R88" si="15">IF(Q36&gt;1,Q36/(M36),0)</f>
        <v>0.16105517190125648</v>
      </c>
      <c r="S36" s="48">
        <f t="shared" ref="S36:T36" si="16">S37+S38+S39+S40+S41+S42+S43+S44</f>
        <v>122293175</v>
      </c>
      <c r="T36" s="48">
        <f t="shared" si="16"/>
        <v>122293175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f>102410000+4000000+1339328</f>
        <v>107749328</v>
      </c>
      <c r="L37" s="44"/>
      <c r="M37" s="44">
        <f>J37+K37-L37</f>
        <v>118093761</v>
      </c>
      <c r="N37" s="44"/>
      <c r="O37" s="44">
        <v>102410000</v>
      </c>
      <c r="P37" s="27">
        <f t="shared" ref="P37:P43" si="17">+M37-O37-N37</f>
        <v>15683761</v>
      </c>
      <c r="Q37" s="27">
        <v>102410000</v>
      </c>
      <c r="R37" s="69">
        <f t="shared" si="15"/>
        <v>0.86719229816044219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</f>
        <v>14493386</v>
      </c>
      <c r="L38" s="44"/>
      <c r="M38" s="44">
        <f t="shared" ref="M38:M44" si="18">J38+K38-L38</f>
        <v>72093386</v>
      </c>
      <c r="N38" s="44"/>
      <c r="O38" s="44">
        <v>21526759</v>
      </c>
      <c r="P38" s="27">
        <f t="shared" si="17"/>
        <v>50566627</v>
      </c>
      <c r="Q38" s="27">
        <v>17526759</v>
      </c>
      <c r="R38" s="69">
        <f t="shared" si="15"/>
        <v>0.24311188546477758</v>
      </c>
      <c r="S38" s="44">
        <v>15061759</v>
      </c>
      <c r="T38" s="70">
        <v>15061759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v>300000</v>
      </c>
      <c r="L39" s="44"/>
      <c r="M39" s="44">
        <f t="shared" si="18"/>
        <v>25300000</v>
      </c>
      <c r="N39" s="44"/>
      <c r="O39" s="44">
        <v>22121416</v>
      </c>
      <c r="P39" s="27">
        <f t="shared" si="17"/>
        <v>3178584</v>
      </c>
      <c r="Q39" s="27">
        <v>4821416</v>
      </c>
      <c r="R39" s="69">
        <f t="shared" si="15"/>
        <v>0.1905698023715415</v>
      </c>
      <c r="S39" s="44">
        <v>4821416</v>
      </c>
      <c r="T39" s="70">
        <v>4821416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/>
      <c r="L40" s="44"/>
      <c r="M40" s="44">
        <f>J40+K40-L40</f>
        <v>63000000</v>
      </c>
      <c r="N40" s="113">
        <v>0</v>
      </c>
      <c r="O40" s="44">
        <v>0</v>
      </c>
      <c r="P40" s="27">
        <f>+M40-O40-N40</f>
        <v>63000000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v>4000000</v>
      </c>
      <c r="L41" s="44"/>
      <c r="M41" s="44">
        <f t="shared" si="18"/>
        <v>39000000</v>
      </c>
      <c r="N41" s="44"/>
      <c r="O41" s="44">
        <v>4000000</v>
      </c>
      <c r="P41" s="27">
        <f>+M41-O41-N41</f>
        <v>35000000</v>
      </c>
      <c r="Q41" s="27">
        <v>4000000</v>
      </c>
      <c r="R41" s="69">
        <f t="shared" si="15"/>
        <v>0.10256410256410256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>
        <v>1339328</v>
      </c>
      <c r="M42" s="44">
        <f t="shared" si="18"/>
        <v>16660672</v>
      </c>
      <c r="N42" s="44"/>
      <c r="O42" s="44">
        <v>6961675</v>
      </c>
      <c r="P42" s="27">
        <f t="shared" si="17"/>
        <v>9698997</v>
      </c>
      <c r="Q42" s="27">
        <v>6961675</v>
      </c>
      <c r="R42" s="69">
        <f t="shared" si="15"/>
        <v>0.41785079257307267</v>
      </c>
      <c r="S42" s="44">
        <v>0</v>
      </c>
      <c r="T42" s="70">
        <v>0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>
        <v>56285000</v>
      </c>
      <c r="L43" s="44"/>
      <c r="M43" s="44">
        <f t="shared" si="18"/>
        <v>76544240</v>
      </c>
      <c r="N43" s="44"/>
      <c r="O43" s="44">
        <v>0</v>
      </c>
      <c r="P43" s="27">
        <f t="shared" si="17"/>
        <v>76544240</v>
      </c>
      <c r="Q43" s="27">
        <v>0</v>
      </c>
      <c r="R43" s="69">
        <f t="shared" si="15"/>
        <v>0</v>
      </c>
      <c r="S43" s="44">
        <v>0</v>
      </c>
      <c r="T43" s="44">
        <v>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233</v>
      </c>
      <c r="H44" s="7" t="s">
        <v>5</v>
      </c>
      <c r="I44" s="8">
        <v>10</v>
      </c>
      <c r="J44" s="44">
        <v>0</v>
      </c>
      <c r="K44" s="44">
        <f>430000000+1999600</f>
        <v>431999600</v>
      </c>
      <c r="L44" s="44"/>
      <c r="M44" s="44">
        <f t="shared" si="18"/>
        <v>431999600</v>
      </c>
      <c r="N44" s="44"/>
      <c r="O44" s="44">
        <v>430000000</v>
      </c>
      <c r="P44" s="27">
        <f t="shared" ref="P44" si="19">+M44-O44-N44</f>
        <v>1999600</v>
      </c>
      <c r="Q44" s="27">
        <v>0</v>
      </c>
      <c r="R44" s="69">
        <f t="shared" si="15"/>
        <v>0</v>
      </c>
      <c r="S44" s="44">
        <v>0</v>
      </c>
      <c r="T44" s="44">
        <v>0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 t="shared" ref="J45:N45" si="20">J48+J49+J50+J51+J52+J53+J54+J55+J56+J57+J58+J59+J60+J61+J64+J65+J66+J67+J68+J69+J70+J71+J74+J75+J76+J77+J78+J79+J80+J81+J82+J83+J84+J62+J63</f>
        <v>49497396327</v>
      </c>
      <c r="K45" s="48">
        <f>K48+K49+K50+K51+K52+K53+K54+K55+K56+K57+K58+K59+K60+K61+K64+K65+K66+K67+K68+K69+K70+K71+K74+K75+K76+K77+K78+K79+K80+K81+K82+K83+K84+K62+K63</f>
        <v>947172478.88999987</v>
      </c>
      <c r="L45" s="48">
        <f t="shared" si="20"/>
        <v>1560660464.8899999</v>
      </c>
      <c r="M45" s="48">
        <f t="shared" si="20"/>
        <v>48883908341</v>
      </c>
      <c r="N45" s="48">
        <f t="shared" si="20"/>
        <v>0</v>
      </c>
      <c r="O45" s="48">
        <f>O48+O49+O50+O51+O52+O53+O54+O55+O56+O57+O58+O59+O60+O61+O64+O65+O66+O67+O68+O69+O70+O71+O74+O75+O76+O77+O78+O79+O80+O81+O82+O83+O84+O62+O63</f>
        <v>35195549621.279999</v>
      </c>
      <c r="P45" s="48">
        <f>P48+P49+P50+P51+P52+P53+P54+P55+P56+P57+P58+P59+P60+P61+P64+P65+P66+P67+P68+P69+P70+P71+P74+P75+P76+P77+P78+P79+P80+P81+P82+P83+P84+P62+P63</f>
        <v>13688358719.719997</v>
      </c>
      <c r="Q45" s="48">
        <f>Q48+Q49+Q50+Q51+Q52+Q53+Q54+Q55+Q56+Q57+Q58+Q59+Q60+Q61+Q64+Q65+Q66+Q67+Q68+Q69+Q70+Q71+Q74+Q75+Q76+Q77+Q78+Q79+Q80+Q81+Q82+Q83+Q84+Q62+Q63</f>
        <v>32950377600.029995</v>
      </c>
      <c r="R45" s="62">
        <f>IF(Q45&gt;1,Q45/(M45),0)</f>
        <v>0.67405366547571632</v>
      </c>
      <c r="S45" s="24">
        <f>S48+S49+S50+S51+S52+S53+S54+S55+S56+S57+S58+S59+S60+S61+S64+S65+S66+S67+S68+S69+S70+S71+S74+S75+S76+S77+S78+S79+S80+S81+S82+S83+S84+S62+S63</f>
        <v>15472171806</v>
      </c>
      <c r="T45" s="24">
        <f>T48+T49+T50+T51+T52+T53+T54+T55+T56+T57+T58+T59+T60+T61+T64+T65+T66+T67+T68+T69+T70+T71+T74+T75+T76+T77+T78+T79+T80+T81+T82+T83+T84+T62+T63</f>
        <v>15199885481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J72</f>
        <v>950000000</v>
      </c>
      <c r="K46" s="48">
        <f t="shared" ref="K46:L46" si="21">K72</f>
        <v>0</v>
      </c>
      <c r="L46" s="48">
        <f t="shared" si="21"/>
        <v>0</v>
      </c>
      <c r="M46" s="48">
        <f>M72</f>
        <v>950000000</v>
      </c>
      <c r="N46" s="48">
        <f t="shared" ref="N46:Q47" si="22">N72</f>
        <v>0</v>
      </c>
      <c r="O46" s="48">
        <f t="shared" si="22"/>
        <v>0</v>
      </c>
      <c r="P46" s="24">
        <f t="shared" si="22"/>
        <v>950000000</v>
      </c>
      <c r="Q46" s="24">
        <f t="shared" si="22"/>
        <v>0</v>
      </c>
      <c r="R46" s="62">
        <f t="shared" si="15"/>
        <v>0</v>
      </c>
      <c r="S46" s="48">
        <f>S72</f>
        <v>0</v>
      </c>
      <c r="T46" s="68">
        <f>T72</f>
        <v>0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J73</f>
        <v>475113000</v>
      </c>
      <c r="K47" s="48">
        <f t="shared" ref="K47:L47" si="23">K73</f>
        <v>0</v>
      </c>
      <c r="L47" s="48">
        <f t="shared" si="23"/>
        <v>0</v>
      </c>
      <c r="M47" s="48">
        <f>M73</f>
        <v>475113000</v>
      </c>
      <c r="N47" s="48">
        <f t="shared" si="22"/>
        <v>0</v>
      </c>
      <c r="O47" s="48">
        <f>O73</f>
        <v>0</v>
      </c>
      <c r="P47" s="24">
        <f>P73</f>
        <v>475113000</v>
      </c>
      <c r="Q47" s="24">
        <f>Q73</f>
        <v>0</v>
      </c>
      <c r="R47" s="62">
        <f t="shared" si="15"/>
        <v>0</v>
      </c>
      <c r="S47" s="48">
        <f>S73</f>
        <v>0</v>
      </c>
      <c r="T47" s="68">
        <f>T73</f>
        <v>0</v>
      </c>
    </row>
    <row r="48" spans="1:21" s="47" customFormat="1" ht="1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35</v>
      </c>
      <c r="F48" s="65" t="s">
        <v>43</v>
      </c>
      <c r="G48" s="23" t="s">
        <v>234</v>
      </c>
      <c r="H48" s="23" t="s">
        <v>5</v>
      </c>
      <c r="I48" s="7">
        <v>10</v>
      </c>
      <c r="J48" s="44">
        <v>0</v>
      </c>
      <c r="K48" s="44">
        <v>200000</v>
      </c>
      <c r="L48" s="44"/>
      <c r="M48" s="44">
        <f>J48+K48-L48</f>
        <v>200000</v>
      </c>
      <c r="N48" s="44">
        <v>0</v>
      </c>
      <c r="O48" s="44">
        <v>200000</v>
      </c>
      <c r="P48" s="27">
        <f t="shared" ref="P48" si="24">+M48-O48-N48</f>
        <v>0</v>
      </c>
      <c r="Q48" s="27">
        <v>0</v>
      </c>
      <c r="R48" s="69">
        <f t="shared" ref="R48" si="25">IF(Q48&gt;1,Q48/(M48),0)</f>
        <v>0</v>
      </c>
      <c r="S48" s="44">
        <v>0</v>
      </c>
      <c r="T48" s="70">
        <v>0</v>
      </c>
    </row>
    <row r="49" spans="1:20" s="6" customFormat="1" ht="41.25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37</v>
      </c>
      <c r="F49" s="7" t="s">
        <v>39</v>
      </c>
      <c r="G49" s="23" t="s">
        <v>109</v>
      </c>
      <c r="H49" s="7" t="s">
        <v>5</v>
      </c>
      <c r="I49" s="8">
        <v>10</v>
      </c>
      <c r="J49" s="44">
        <v>5000000</v>
      </c>
      <c r="K49" s="44"/>
      <c r="L49" s="44"/>
      <c r="M49" s="44">
        <f>J49+K49-L49</f>
        <v>5000000</v>
      </c>
      <c r="N49" s="44">
        <v>0</v>
      </c>
      <c r="O49" s="44">
        <v>0</v>
      </c>
      <c r="P49" s="27">
        <f t="shared" ref="P49:P84" si="26">+M49-O49-N49</f>
        <v>5000000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213</v>
      </c>
      <c r="H50" s="7" t="s">
        <v>5</v>
      </c>
      <c r="I50" s="8">
        <v>10</v>
      </c>
      <c r="J50" s="44">
        <v>10689249</v>
      </c>
      <c r="K50" s="44"/>
      <c r="L50" s="44"/>
      <c r="M50" s="44">
        <f t="shared" ref="M50" si="27">J50+K50-L50</f>
        <v>10689249</v>
      </c>
      <c r="N50" s="44">
        <v>0</v>
      </c>
      <c r="O50" s="44">
        <v>3000000</v>
      </c>
      <c r="P50" s="27">
        <f>+M50-O50-N50</f>
        <v>7689249</v>
      </c>
      <c r="Q50" s="9">
        <v>0</v>
      </c>
      <c r="R50" s="25">
        <f t="shared" si="15"/>
        <v>0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110</v>
      </c>
      <c r="H51" s="7" t="s">
        <v>5</v>
      </c>
      <c r="I51" s="8" t="s">
        <v>6</v>
      </c>
      <c r="J51" s="44">
        <v>662899534</v>
      </c>
      <c r="K51" s="44">
        <f>5367603.9+3281650+7000000+46000000</f>
        <v>61649253.899999999</v>
      </c>
      <c r="L51" s="44">
        <f>9933700+12473363.13</f>
        <v>22407063.130000003</v>
      </c>
      <c r="M51" s="44">
        <f t="shared" ref="M51:M84" si="28">J51+K51-L51</f>
        <v>702141724.76999998</v>
      </c>
      <c r="N51" s="9">
        <v>0</v>
      </c>
      <c r="O51" s="44">
        <v>460535832.14999998</v>
      </c>
      <c r="P51" s="27">
        <f>+M51-O51-N51</f>
        <v>241605892.62</v>
      </c>
      <c r="Q51" s="9">
        <v>189404964.90000001</v>
      </c>
      <c r="R51" s="25">
        <f t="shared" si="15"/>
        <v>0.2697531826100254</v>
      </c>
      <c r="S51" s="9">
        <v>14140603.9</v>
      </c>
      <c r="T51" s="10">
        <v>5367603.9000000004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111</v>
      </c>
      <c r="H52" s="7" t="s">
        <v>5</v>
      </c>
      <c r="I52" s="8" t="s">
        <v>6</v>
      </c>
      <c r="J52" s="44">
        <v>10000</v>
      </c>
      <c r="K52" s="44">
        <f>1200000+2000000</f>
        <v>3200000</v>
      </c>
      <c r="L52" s="44"/>
      <c r="M52" s="44">
        <f t="shared" si="28"/>
        <v>3210000</v>
      </c>
      <c r="N52" s="9">
        <v>0</v>
      </c>
      <c r="O52" s="44">
        <v>3200000</v>
      </c>
      <c r="P52" s="27">
        <f t="shared" si="26"/>
        <v>10000</v>
      </c>
      <c r="Q52" s="9">
        <v>1200000</v>
      </c>
      <c r="R52" s="25">
        <f t="shared" si="15"/>
        <v>0.37383177570093457</v>
      </c>
      <c r="S52" s="9">
        <v>0</v>
      </c>
      <c r="T52" s="10">
        <v>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217</v>
      </c>
      <c r="H53" s="7" t="s">
        <v>5</v>
      </c>
      <c r="I53" s="8">
        <v>10</v>
      </c>
      <c r="J53" s="44">
        <v>126215878</v>
      </c>
      <c r="K53" s="44">
        <f>900000+33000+68000000</f>
        <v>68933000</v>
      </c>
      <c r="L53" s="44">
        <f>11423842+1419723</f>
        <v>12843565</v>
      </c>
      <c r="M53" s="44">
        <f t="shared" si="28"/>
        <v>182305313</v>
      </c>
      <c r="N53" s="27">
        <v>0</v>
      </c>
      <c r="O53" s="44">
        <v>71925285</v>
      </c>
      <c r="P53" s="27">
        <f t="shared" si="26"/>
        <v>110380028</v>
      </c>
      <c r="Q53" s="9">
        <v>36555465</v>
      </c>
      <c r="R53" s="25">
        <f t="shared" si="15"/>
        <v>0.20051782582990327</v>
      </c>
      <c r="S53" s="9">
        <v>0</v>
      </c>
      <c r="T53" s="10">
        <v>0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112</v>
      </c>
      <c r="H54" s="7" t="s">
        <v>5</v>
      </c>
      <c r="I54" s="8" t="s">
        <v>6</v>
      </c>
      <c r="J54" s="44">
        <v>353285398</v>
      </c>
      <c r="K54" s="44">
        <f>900000+1500000</f>
        <v>2400000</v>
      </c>
      <c r="L54" s="44">
        <f xml:space="preserve"> 983260</f>
        <v>983260</v>
      </c>
      <c r="M54" s="44">
        <f>J54+K54-L54</f>
        <v>354702138</v>
      </c>
      <c r="N54" s="27">
        <v>0</v>
      </c>
      <c r="O54" s="44">
        <v>231400279</v>
      </c>
      <c r="P54" s="27">
        <f t="shared" si="26"/>
        <v>123301859</v>
      </c>
      <c r="Q54" s="9">
        <v>227900279</v>
      </c>
      <c r="R54" s="25">
        <f t="shared" si="15"/>
        <v>0.64251171499845883</v>
      </c>
      <c r="S54" s="9">
        <v>68875339.450000003</v>
      </c>
      <c r="T54" s="10">
        <v>66711213.450000003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113</v>
      </c>
      <c r="H55" s="7" t="s">
        <v>5</v>
      </c>
      <c r="I55" s="8" t="s">
        <v>6</v>
      </c>
      <c r="J55" s="44">
        <v>329921413</v>
      </c>
      <c r="K55" s="44">
        <f>9781546+1100000+1500000+5000000+25000000</f>
        <v>42381546</v>
      </c>
      <c r="L55" s="44">
        <f>6250072</f>
        <v>6250072</v>
      </c>
      <c r="M55" s="44">
        <f t="shared" si="28"/>
        <v>366052887</v>
      </c>
      <c r="N55" s="27">
        <v>0</v>
      </c>
      <c r="O55" s="44">
        <v>337418359.60000002</v>
      </c>
      <c r="P55" s="44">
        <f t="shared" si="26"/>
        <v>28634527.399999976</v>
      </c>
      <c r="Q55" s="9">
        <v>257245849.59999999</v>
      </c>
      <c r="R55" s="25">
        <f t="shared" si="15"/>
        <v>0.70275596433146015</v>
      </c>
      <c r="S55" s="9">
        <v>4076336</v>
      </c>
      <c r="T55" s="10">
        <v>4076336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114</v>
      </c>
      <c r="H56" s="7" t="s">
        <v>5</v>
      </c>
      <c r="I56" s="8" t="s">
        <v>6</v>
      </c>
      <c r="J56" s="44">
        <v>90459640</v>
      </c>
      <c r="K56" s="44">
        <f>685420+3400000+9000000+71669518</f>
        <v>84754938</v>
      </c>
      <c r="L56" s="44">
        <f>25000000+28720</f>
        <v>25028720</v>
      </c>
      <c r="M56" s="44">
        <f t="shared" si="28"/>
        <v>150185858</v>
      </c>
      <c r="N56" s="27">
        <v>0</v>
      </c>
      <c r="O56" s="44">
        <v>18091243</v>
      </c>
      <c r="P56" s="44">
        <f t="shared" si="26"/>
        <v>132094615</v>
      </c>
      <c r="Q56" s="9">
        <v>6091243</v>
      </c>
      <c r="R56" s="25">
        <f t="shared" si="15"/>
        <v>4.0558033100559977E-2</v>
      </c>
      <c r="S56" s="9">
        <v>0</v>
      </c>
      <c r="T56" s="10">
        <v>0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115</v>
      </c>
      <c r="H57" s="7" t="s">
        <v>5</v>
      </c>
      <c r="I57" s="8" t="s">
        <v>6</v>
      </c>
      <c r="J57" s="44">
        <v>336036763</v>
      </c>
      <c r="K57" s="44">
        <f>6471822+50000000+13620000+1411324+64000000+500000+99478792.28+120230208</f>
        <v>355712146.27999997</v>
      </c>
      <c r="L57" s="44">
        <v>20577512</v>
      </c>
      <c r="M57" s="44">
        <f t="shared" si="28"/>
        <v>671171397.27999997</v>
      </c>
      <c r="N57" s="9">
        <v>0</v>
      </c>
      <c r="O57" s="44">
        <v>191279321</v>
      </c>
      <c r="P57" s="44">
        <f t="shared" si="26"/>
        <v>479892076.27999997</v>
      </c>
      <c r="Q57" s="9">
        <v>21880501</v>
      </c>
      <c r="R57" s="25">
        <f t="shared" si="15"/>
        <v>3.2600467017327127E-2</v>
      </c>
      <c r="S57" s="9">
        <v>0</v>
      </c>
      <c r="T57" s="10">
        <v>0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116</v>
      </c>
      <c r="H58" s="7" t="s">
        <v>5</v>
      </c>
      <c r="I58" s="63" t="s">
        <v>6</v>
      </c>
      <c r="J58" s="44">
        <v>4200000</v>
      </c>
      <c r="K58" s="44">
        <v>660637</v>
      </c>
      <c r="L58" s="44">
        <f>600000</f>
        <v>600000</v>
      </c>
      <c r="M58" s="44">
        <f>J58+K58-L58</f>
        <v>4260637</v>
      </c>
      <c r="N58" s="9">
        <v>0</v>
      </c>
      <c r="O58" s="44">
        <v>4121565</v>
      </c>
      <c r="P58" s="27">
        <f t="shared" si="26"/>
        <v>139072</v>
      </c>
      <c r="Q58" s="9">
        <v>721565</v>
      </c>
      <c r="R58" s="25">
        <f t="shared" si="15"/>
        <v>0.16935613148925854</v>
      </c>
      <c r="S58" s="9">
        <v>0</v>
      </c>
      <c r="T58" s="10">
        <v>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117</v>
      </c>
      <c r="H59" s="7" t="s">
        <v>5</v>
      </c>
      <c r="I59" s="8" t="s">
        <v>6</v>
      </c>
      <c r="J59" s="44">
        <v>282668220</v>
      </c>
      <c r="K59" s="44">
        <f>3830280+600000+515566</f>
        <v>4945846</v>
      </c>
      <c r="L59" s="44">
        <f>1100000</f>
        <v>1100000</v>
      </c>
      <c r="M59" s="44">
        <f>J59+K59-L59</f>
        <v>286514066</v>
      </c>
      <c r="N59" s="9">
        <v>0</v>
      </c>
      <c r="O59" s="44">
        <v>5724233</v>
      </c>
      <c r="P59" s="27">
        <f>+M59-O59-N59</f>
        <v>280789833</v>
      </c>
      <c r="Q59" s="9">
        <v>5324233</v>
      </c>
      <c r="R59" s="25">
        <f t="shared" si="15"/>
        <v>1.8582797955895122E-2</v>
      </c>
      <c r="S59" s="9">
        <v>0</v>
      </c>
      <c r="T59" s="10">
        <v>0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118</v>
      </c>
      <c r="H60" s="7" t="s">
        <v>5</v>
      </c>
      <c r="I60" s="8" t="s">
        <v>6</v>
      </c>
      <c r="J60" s="44">
        <v>4200000</v>
      </c>
      <c r="K60" s="44">
        <f>1000000</f>
        <v>1000000</v>
      </c>
      <c r="L60" s="44">
        <v>4200000</v>
      </c>
      <c r="M60" s="44">
        <f>J60+K60-L60</f>
        <v>1000000</v>
      </c>
      <c r="N60" s="9">
        <v>0</v>
      </c>
      <c r="O60" s="44">
        <v>1000000</v>
      </c>
      <c r="P60" s="27">
        <f t="shared" si="26"/>
        <v>0</v>
      </c>
      <c r="Q60" s="9">
        <v>1000000</v>
      </c>
      <c r="R60" s="25">
        <f t="shared" si="15"/>
        <v>1</v>
      </c>
      <c r="S60" s="9">
        <v>0</v>
      </c>
      <c r="T60" s="10">
        <v>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119</v>
      </c>
      <c r="H61" s="7" t="s">
        <v>5</v>
      </c>
      <c r="I61" s="8" t="s">
        <v>6</v>
      </c>
      <c r="J61" s="44">
        <v>102299498</v>
      </c>
      <c r="K61" s="44">
        <f>388320+4816875+1600000+554842+2400000+26611424</f>
        <v>36371461</v>
      </c>
      <c r="L61" s="44">
        <f>655801</f>
        <v>655801</v>
      </c>
      <c r="M61" s="44">
        <f t="shared" si="28"/>
        <v>138015158</v>
      </c>
      <c r="N61" s="9">
        <v>0</v>
      </c>
      <c r="O61" s="44">
        <v>22667269</v>
      </c>
      <c r="P61" s="27">
        <f t="shared" si="26"/>
        <v>115347889</v>
      </c>
      <c r="Q61" s="9">
        <v>14267269</v>
      </c>
      <c r="R61" s="25">
        <f t="shared" si="15"/>
        <v>0.10337465251461728</v>
      </c>
      <c r="S61" s="9">
        <v>0</v>
      </c>
      <c r="T61" s="10">
        <v>0</v>
      </c>
    </row>
    <row r="62" spans="1:20" s="6" customFormat="1" ht="16.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107</v>
      </c>
      <c r="H62" s="7" t="s">
        <v>5</v>
      </c>
      <c r="I62" s="8" t="s">
        <v>6</v>
      </c>
      <c r="J62" s="44"/>
      <c r="K62" s="44">
        <v>1600000</v>
      </c>
      <c r="L62" s="44">
        <v>1600000</v>
      </c>
      <c r="M62" s="44">
        <f t="shared" si="28"/>
        <v>0</v>
      </c>
      <c r="N62" s="9"/>
      <c r="O62" s="44">
        <v>0</v>
      </c>
      <c r="P62" s="27">
        <f t="shared" si="26"/>
        <v>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108</v>
      </c>
      <c r="H63" s="7" t="s">
        <v>5</v>
      </c>
      <c r="I63" s="8" t="s">
        <v>6</v>
      </c>
      <c r="J63" s="44"/>
      <c r="K63" s="44">
        <v>2295000</v>
      </c>
      <c r="L63" s="44">
        <v>0</v>
      </c>
      <c r="M63" s="44">
        <f t="shared" ref="M63" si="29">J63+K63-L63</f>
        <v>2295000</v>
      </c>
      <c r="N63" s="9"/>
      <c r="O63" s="44">
        <v>0</v>
      </c>
      <c r="P63" s="27">
        <f t="shared" ref="P63" si="30">+M63-O63-N63</f>
        <v>2295000</v>
      </c>
      <c r="Q63" s="9">
        <v>0</v>
      </c>
      <c r="R63" s="25">
        <f t="shared" ref="R63" si="31">IF(Q63&gt;1,Q63/(M63),0)</f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120</v>
      </c>
      <c r="H64" s="7" t="s">
        <v>5</v>
      </c>
      <c r="I64" s="8" t="s">
        <v>6</v>
      </c>
      <c r="J64" s="44">
        <v>4615110</v>
      </c>
      <c r="K64" s="44">
        <f>983880</f>
        <v>983880</v>
      </c>
      <c r="L64" s="44"/>
      <c r="M64" s="44">
        <f>J64+K64-L64</f>
        <v>5598990</v>
      </c>
      <c r="N64" s="9">
        <v>0</v>
      </c>
      <c r="O64" s="44">
        <v>983880</v>
      </c>
      <c r="P64" s="27">
        <f t="shared" si="26"/>
        <v>4615110</v>
      </c>
      <c r="Q64" s="9">
        <v>983880</v>
      </c>
      <c r="R64" s="25">
        <f t="shared" si="15"/>
        <v>0.17572455032068285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121</v>
      </c>
      <c r="H65" s="7" t="s">
        <v>5</v>
      </c>
      <c r="I65" s="8" t="s">
        <v>6</v>
      </c>
      <c r="J65" s="44">
        <v>32000000</v>
      </c>
      <c r="K65" s="44">
        <f>10739512+9409250</f>
        <v>20148762</v>
      </c>
      <c r="L65" s="44"/>
      <c r="M65" s="44">
        <f t="shared" si="28"/>
        <v>52148762</v>
      </c>
      <c r="N65" s="9">
        <v>0</v>
      </c>
      <c r="O65" s="44">
        <v>34130381</v>
      </c>
      <c r="P65" s="27">
        <f t="shared" si="26"/>
        <v>18018381</v>
      </c>
      <c r="Q65" s="9">
        <v>8390869</v>
      </c>
      <c r="R65" s="25">
        <f t="shared" si="15"/>
        <v>0.1609025541200767</v>
      </c>
      <c r="S65" s="9">
        <v>0</v>
      </c>
      <c r="T65" s="10">
        <v>0</v>
      </c>
    </row>
    <row r="66" spans="1:20" s="6" customFormat="1" ht="24.75" x14ac:dyDescent="0.25">
      <c r="A66" s="91" t="s">
        <v>3</v>
      </c>
      <c r="B66" s="7" t="s">
        <v>50</v>
      </c>
      <c r="C66" s="65" t="s">
        <v>50</v>
      </c>
      <c r="D66" s="7" t="s">
        <v>34</v>
      </c>
      <c r="E66" s="7" t="s">
        <v>40</v>
      </c>
      <c r="F66" s="7" t="s">
        <v>45</v>
      </c>
      <c r="G66" s="23" t="s">
        <v>123</v>
      </c>
      <c r="H66" s="7" t="s">
        <v>5</v>
      </c>
      <c r="I66" s="8" t="s">
        <v>6</v>
      </c>
      <c r="J66" s="44">
        <v>10100000</v>
      </c>
      <c r="K66" s="44">
        <f>48000+26180</f>
        <v>74180</v>
      </c>
      <c r="L66" s="44">
        <f>10000000</f>
        <v>10000000</v>
      </c>
      <c r="M66" s="44">
        <f t="shared" si="28"/>
        <v>174180</v>
      </c>
      <c r="N66" s="9">
        <v>0</v>
      </c>
      <c r="O66" s="44">
        <v>72354</v>
      </c>
      <c r="P66" s="27">
        <f t="shared" si="26"/>
        <v>101826</v>
      </c>
      <c r="Q66" s="9">
        <v>72354</v>
      </c>
      <c r="R66" s="25">
        <f t="shared" si="15"/>
        <v>0.41539786427833275</v>
      </c>
      <c r="S66" s="9">
        <v>0</v>
      </c>
      <c r="T66" s="10">
        <v>0</v>
      </c>
    </row>
    <row r="67" spans="1:20" s="6" customFormat="1" x14ac:dyDescent="0.25">
      <c r="A67" s="91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7" t="s">
        <v>40</v>
      </c>
      <c r="G67" s="23" t="s">
        <v>124</v>
      </c>
      <c r="H67" s="7" t="s">
        <v>5</v>
      </c>
      <c r="I67" s="8" t="s">
        <v>6</v>
      </c>
      <c r="J67" s="44">
        <v>15000000</v>
      </c>
      <c r="K67" s="44">
        <v>2603977.54</v>
      </c>
      <c r="L67" s="44"/>
      <c r="M67" s="44">
        <f t="shared" si="28"/>
        <v>17603977.539999999</v>
      </c>
      <c r="N67" s="9">
        <v>0</v>
      </c>
      <c r="O67" s="44">
        <v>2603977.54</v>
      </c>
      <c r="P67" s="27">
        <f>+M67-O67-N67</f>
        <v>15000000</v>
      </c>
      <c r="Q67" s="9">
        <v>2603977.54</v>
      </c>
      <c r="R67" s="25">
        <f t="shared" si="15"/>
        <v>0.14791983993862787</v>
      </c>
      <c r="S67" s="9">
        <v>2603977.54</v>
      </c>
      <c r="T67" s="10">
        <v>2603977.54</v>
      </c>
    </row>
    <row r="68" spans="1:20" s="6" customFormat="1" ht="16.5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7" t="s">
        <v>40</v>
      </c>
      <c r="G68" s="23" t="s">
        <v>125</v>
      </c>
      <c r="H68" s="7" t="s">
        <v>5</v>
      </c>
      <c r="I68" s="8" t="s">
        <v>6</v>
      </c>
      <c r="J68" s="44">
        <v>943654750</v>
      </c>
      <c r="K68" s="44"/>
      <c r="L68" s="44"/>
      <c r="M68" s="44">
        <f t="shared" si="28"/>
        <v>943654750</v>
      </c>
      <c r="N68" s="9">
        <v>0</v>
      </c>
      <c r="O68" s="44">
        <v>928654750</v>
      </c>
      <c r="P68" s="27">
        <f t="shared" si="26"/>
        <v>15000000</v>
      </c>
      <c r="Q68" s="9">
        <v>742622628</v>
      </c>
      <c r="R68" s="25">
        <f t="shared" si="15"/>
        <v>0.7869643299098531</v>
      </c>
      <c r="S68" s="9">
        <v>41743178</v>
      </c>
      <c r="T68" s="10">
        <v>39205778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42</v>
      </c>
      <c r="G69" s="23" t="s">
        <v>126</v>
      </c>
      <c r="H69" s="7" t="s">
        <v>5</v>
      </c>
      <c r="I69" s="8" t="s">
        <v>6</v>
      </c>
      <c r="J69" s="44">
        <v>241200000</v>
      </c>
      <c r="K69" s="44"/>
      <c r="L69" s="44"/>
      <c r="M69" s="44">
        <f t="shared" si="28"/>
        <v>241200000</v>
      </c>
      <c r="N69" s="9">
        <v>0</v>
      </c>
      <c r="O69" s="44">
        <v>241200000</v>
      </c>
      <c r="P69" s="27">
        <f t="shared" si="26"/>
        <v>0</v>
      </c>
      <c r="Q69" s="9">
        <v>241200000</v>
      </c>
      <c r="R69" s="25">
        <f t="shared" si="15"/>
        <v>1</v>
      </c>
      <c r="S69" s="9">
        <v>19798457</v>
      </c>
      <c r="T69" s="10">
        <v>19798457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45</v>
      </c>
      <c r="G70" s="23" t="s">
        <v>127</v>
      </c>
      <c r="H70" s="7" t="s">
        <v>5</v>
      </c>
      <c r="I70" s="8" t="s">
        <v>6</v>
      </c>
      <c r="J70" s="44">
        <v>202620006</v>
      </c>
      <c r="K70" s="44"/>
      <c r="L70" s="44"/>
      <c r="M70" s="44">
        <f t="shared" si="28"/>
        <v>202620006</v>
      </c>
      <c r="N70" s="9">
        <v>0</v>
      </c>
      <c r="O70" s="44">
        <v>202620000</v>
      </c>
      <c r="P70" s="27">
        <f t="shared" si="26"/>
        <v>6</v>
      </c>
      <c r="Q70" s="9">
        <v>202620000</v>
      </c>
      <c r="R70" s="25">
        <f t="shared" si="15"/>
        <v>0.9999999703879191</v>
      </c>
      <c r="S70" s="9">
        <v>28594245</v>
      </c>
      <c r="T70" s="10">
        <v>18669860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46</v>
      </c>
      <c r="G71" s="23" t="s">
        <v>128</v>
      </c>
      <c r="H71" s="7" t="s">
        <v>5</v>
      </c>
      <c r="I71" s="8" t="s">
        <v>6</v>
      </c>
      <c r="J71" s="44">
        <v>5734282670</v>
      </c>
      <c r="K71" s="44">
        <f>44585939</f>
        <v>44585939</v>
      </c>
      <c r="L71" s="44">
        <f>2500000+30000000+1100000</f>
        <v>33600000</v>
      </c>
      <c r="M71" s="44">
        <f t="shared" si="28"/>
        <v>5745268609</v>
      </c>
      <c r="N71" s="9">
        <v>0</v>
      </c>
      <c r="O71" s="44">
        <v>1789132121.77</v>
      </c>
      <c r="P71" s="27">
        <f t="shared" si="26"/>
        <v>3956136487.23</v>
      </c>
      <c r="Q71" s="9">
        <v>1789132121.77</v>
      </c>
      <c r="R71" s="25">
        <f t="shared" si="15"/>
        <v>0.31140965610682031</v>
      </c>
      <c r="S71" s="9">
        <v>1789132121.77</v>
      </c>
      <c r="T71" s="10">
        <v>1755105180.77</v>
      </c>
    </row>
    <row r="72" spans="1:20" s="6" customFormat="1" ht="24.7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46</v>
      </c>
      <c r="G72" s="23" t="s">
        <v>128</v>
      </c>
      <c r="H72" s="7" t="s">
        <v>8</v>
      </c>
      <c r="I72" s="8" t="s">
        <v>9</v>
      </c>
      <c r="J72" s="44">
        <v>950000000</v>
      </c>
      <c r="K72" s="44"/>
      <c r="L72" s="44"/>
      <c r="M72" s="44">
        <f t="shared" si="28"/>
        <v>950000000</v>
      </c>
      <c r="N72" s="9">
        <v>0</v>
      </c>
      <c r="O72" s="44">
        <v>0</v>
      </c>
      <c r="P72" s="27">
        <f t="shared" si="26"/>
        <v>950000000</v>
      </c>
      <c r="Q72" s="9">
        <v>0</v>
      </c>
      <c r="R72" s="25">
        <f t="shared" si="15"/>
        <v>0</v>
      </c>
      <c r="S72" s="9">
        <v>0</v>
      </c>
      <c r="T72" s="10">
        <v>0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128</v>
      </c>
      <c r="H73" s="7" t="s">
        <v>8</v>
      </c>
      <c r="I73" s="8">
        <v>21</v>
      </c>
      <c r="J73" s="44">
        <v>475113000</v>
      </c>
      <c r="K73" s="44"/>
      <c r="L73" s="44"/>
      <c r="M73" s="44">
        <f t="shared" si="28"/>
        <v>475113000</v>
      </c>
      <c r="N73" s="9">
        <v>0</v>
      </c>
      <c r="O73" s="44">
        <v>0</v>
      </c>
      <c r="P73" s="27">
        <f t="shared" si="26"/>
        <v>475113000</v>
      </c>
      <c r="Q73" s="9">
        <v>0</v>
      </c>
      <c r="R73" s="25">
        <f t="shared" si="15"/>
        <v>0</v>
      </c>
      <c r="S73" s="9">
        <v>0</v>
      </c>
      <c r="T73" s="10">
        <v>0</v>
      </c>
    </row>
    <row r="74" spans="1:20" s="6" customFormat="1" ht="16.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7" t="s">
        <v>35</v>
      </c>
      <c r="G74" s="23" t="s">
        <v>129</v>
      </c>
      <c r="H74" s="7" t="s">
        <v>5</v>
      </c>
      <c r="I74" s="8" t="s">
        <v>6</v>
      </c>
      <c r="J74" s="44">
        <v>5439474317</v>
      </c>
      <c r="K74" s="44"/>
      <c r="L74" s="44"/>
      <c r="M74" s="44">
        <f t="shared" si="28"/>
        <v>5439474317</v>
      </c>
      <c r="N74" s="9">
        <v>0</v>
      </c>
      <c r="O74" s="44">
        <v>5264646960</v>
      </c>
      <c r="P74" s="27">
        <f t="shared" si="26"/>
        <v>174827357</v>
      </c>
      <c r="Q74" s="9">
        <v>5264646960</v>
      </c>
      <c r="R74" s="25">
        <f t="shared" si="15"/>
        <v>0.96785951236986045</v>
      </c>
      <c r="S74" s="9">
        <v>5264646960</v>
      </c>
      <c r="T74" s="10">
        <v>5166801985</v>
      </c>
    </row>
    <row r="75" spans="1:20" s="6" customFormat="1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65" t="s">
        <v>37</v>
      </c>
      <c r="G75" s="23" t="s">
        <v>130</v>
      </c>
      <c r="H75" s="7" t="s">
        <v>5</v>
      </c>
      <c r="I75" s="8" t="s">
        <v>6</v>
      </c>
      <c r="J75" s="44">
        <v>2697677288</v>
      </c>
      <c r="K75" s="44"/>
      <c r="L75" s="44">
        <v>4543116</v>
      </c>
      <c r="M75" s="44">
        <f t="shared" si="28"/>
        <v>2693134172</v>
      </c>
      <c r="N75" s="9">
        <v>0</v>
      </c>
      <c r="O75" s="44">
        <v>2668575073</v>
      </c>
      <c r="P75" s="27">
        <f t="shared" si="26"/>
        <v>24559099</v>
      </c>
      <c r="Q75" s="9">
        <v>2668575073</v>
      </c>
      <c r="R75" s="25">
        <f t="shared" si="15"/>
        <v>0.99088084832336376</v>
      </c>
      <c r="S75" s="9">
        <v>833387449</v>
      </c>
      <c r="T75" s="10">
        <v>828607558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7" t="s">
        <v>37</v>
      </c>
      <c r="G76" s="107" t="s">
        <v>131</v>
      </c>
      <c r="H76" s="7" t="s">
        <v>5</v>
      </c>
      <c r="I76" s="8" t="s">
        <v>6</v>
      </c>
      <c r="J76" s="44">
        <v>70000</v>
      </c>
      <c r="K76" s="44">
        <f>98400000</f>
        <v>98400000</v>
      </c>
      <c r="L76" s="44"/>
      <c r="M76" s="44">
        <f t="shared" si="28"/>
        <v>98470000</v>
      </c>
      <c r="N76" s="9"/>
      <c r="O76" s="44">
        <v>96041800</v>
      </c>
      <c r="P76" s="27">
        <f t="shared" si="26"/>
        <v>2428200</v>
      </c>
      <c r="Q76" s="9">
        <v>96041800</v>
      </c>
      <c r="R76" s="25">
        <f t="shared" si="15"/>
        <v>0.97534071290748448</v>
      </c>
      <c r="S76" s="9">
        <v>15041800</v>
      </c>
      <c r="T76" s="10">
        <v>15041800</v>
      </c>
    </row>
    <row r="77" spans="1:20" s="6" customFormat="1" ht="41.2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39</v>
      </c>
      <c r="G77" s="23" t="s">
        <v>142</v>
      </c>
      <c r="H77" s="7" t="s">
        <v>5</v>
      </c>
      <c r="I77" s="8" t="s">
        <v>6</v>
      </c>
      <c r="J77" s="44">
        <v>6395104796</v>
      </c>
      <c r="K77" s="44">
        <f>2500000+13808036+1850674</f>
        <v>18158710</v>
      </c>
      <c r="L77" s="44">
        <f>8701011.61+102410000+98400000+11923800+46000000</f>
        <v>267434811.61000001</v>
      </c>
      <c r="M77" s="44">
        <f>J77+K77-L77</f>
        <v>6145828694.3900003</v>
      </c>
      <c r="N77" s="108">
        <v>0</v>
      </c>
      <c r="O77" s="44">
        <v>2838865526</v>
      </c>
      <c r="P77" s="27">
        <f t="shared" si="26"/>
        <v>3306963168.3900003</v>
      </c>
      <c r="Q77" s="9">
        <v>2828585526</v>
      </c>
      <c r="R77" s="25">
        <f t="shared" si="15"/>
        <v>0.46024477196736269</v>
      </c>
      <c r="S77" s="9">
        <v>2506222847</v>
      </c>
      <c r="T77" s="10">
        <v>2506222847</v>
      </c>
    </row>
    <row r="78" spans="1:20" s="6" customFormat="1" ht="33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40</v>
      </c>
      <c r="G78" s="23" t="s">
        <v>132</v>
      </c>
      <c r="H78" s="7" t="s">
        <v>5</v>
      </c>
      <c r="I78" s="8" t="s">
        <v>6</v>
      </c>
      <c r="J78" s="44">
        <v>200840908</v>
      </c>
      <c r="K78" s="44">
        <f>30000000</f>
        <v>30000000</v>
      </c>
      <c r="L78" s="44">
        <v>0</v>
      </c>
      <c r="M78" s="44">
        <f t="shared" si="28"/>
        <v>230840908</v>
      </c>
      <c r="N78" s="9">
        <v>0</v>
      </c>
      <c r="O78" s="44">
        <v>60555701.270000003</v>
      </c>
      <c r="P78" s="27">
        <f t="shared" si="26"/>
        <v>170285206.72999999</v>
      </c>
      <c r="Q78" s="9">
        <v>60555701.270000003</v>
      </c>
      <c r="R78" s="25">
        <f t="shared" si="15"/>
        <v>0.26232655985740622</v>
      </c>
      <c r="S78" s="9">
        <v>60555701.270000003</v>
      </c>
      <c r="T78" s="10">
        <v>60555701.270000003</v>
      </c>
    </row>
    <row r="79" spans="1:20" s="6" customFormat="1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42</v>
      </c>
      <c r="G79" s="23" t="s">
        <v>133</v>
      </c>
      <c r="H79" s="7" t="s">
        <v>5</v>
      </c>
      <c r="I79" s="8" t="s">
        <v>6</v>
      </c>
      <c r="J79" s="44">
        <v>17226804360</v>
      </c>
      <c r="K79" s="44"/>
      <c r="L79" s="44">
        <v>31751709.149999999</v>
      </c>
      <c r="M79" s="44">
        <f>J79+K79-L79</f>
        <v>17195052650.849998</v>
      </c>
      <c r="N79" s="9">
        <v>0</v>
      </c>
      <c r="O79" s="44">
        <v>16698472322.84</v>
      </c>
      <c r="P79" s="27">
        <f t="shared" si="26"/>
        <v>496580328.00999832</v>
      </c>
      <c r="Q79" s="9">
        <v>16698472322.84</v>
      </c>
      <c r="R79" s="25">
        <f t="shared" si="15"/>
        <v>0.97112074396669845</v>
      </c>
      <c r="S79" s="9">
        <v>3999309642</v>
      </c>
      <c r="T79" s="10">
        <v>3914696888</v>
      </c>
    </row>
    <row r="80" spans="1:20" s="6" customFormat="1" ht="33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44</v>
      </c>
      <c r="G80" s="23" t="s">
        <v>134</v>
      </c>
      <c r="H80" s="7" t="s">
        <v>5</v>
      </c>
      <c r="I80" s="63" t="s">
        <v>6</v>
      </c>
      <c r="J80" s="44">
        <v>4204679271</v>
      </c>
      <c r="K80" s="44">
        <f>729430.17+1076970</f>
        <v>1806400.17</v>
      </c>
      <c r="L80" s="44">
        <f>8520080+496000000+38200548+1769586+2043349+64000000+1850674+406500000</f>
        <v>1018884237</v>
      </c>
      <c r="M80" s="44">
        <f>J80+K80-L80</f>
        <v>3187601434.1700001</v>
      </c>
      <c r="N80" s="9">
        <v>0</v>
      </c>
      <c r="O80" s="44">
        <v>205986990.16999999</v>
      </c>
      <c r="P80" s="27">
        <f t="shared" si="26"/>
        <v>2981614444</v>
      </c>
      <c r="Q80" s="9">
        <v>135372316.16999999</v>
      </c>
      <c r="R80" s="25">
        <f t="shared" si="15"/>
        <v>4.2468394799567766E-2</v>
      </c>
      <c r="S80" s="9">
        <v>101519096</v>
      </c>
      <c r="T80" s="10">
        <v>101519096</v>
      </c>
    </row>
    <row r="81" spans="1:259" s="6" customFormat="1" ht="24.75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7" t="s">
        <v>39</v>
      </c>
      <c r="G81" s="23" t="s">
        <v>135</v>
      </c>
      <c r="H81" s="7" t="s">
        <v>5</v>
      </c>
      <c r="I81" s="8" t="s">
        <v>6</v>
      </c>
      <c r="J81" s="44">
        <v>441869750</v>
      </c>
      <c r="K81" s="44">
        <f>14306802+50000000</f>
        <v>64306802</v>
      </c>
      <c r="L81" s="44"/>
      <c r="M81" s="44">
        <f>J81+K81-L81</f>
        <v>506176552</v>
      </c>
      <c r="N81" s="9">
        <v>0</v>
      </c>
      <c r="O81" s="44">
        <v>70000000</v>
      </c>
      <c r="P81" s="27">
        <f t="shared" si="26"/>
        <v>436176552</v>
      </c>
      <c r="Q81" s="9">
        <v>0</v>
      </c>
      <c r="R81" s="25">
        <f t="shared" si="15"/>
        <v>0</v>
      </c>
      <c r="S81" s="9">
        <v>0</v>
      </c>
      <c r="T81" s="10">
        <v>0</v>
      </c>
    </row>
    <row r="82" spans="1:259" s="6" customFormat="1" ht="41.25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7" t="s">
        <v>40</v>
      </c>
      <c r="G82" s="23" t="s">
        <v>136</v>
      </c>
      <c r="H82" s="7" t="s">
        <v>5</v>
      </c>
      <c r="I82" s="8" t="s">
        <v>6</v>
      </c>
      <c r="J82" s="44">
        <v>815493307</v>
      </c>
      <c r="K82" s="44"/>
      <c r="L82" s="44">
        <f>98200598</f>
        <v>98200598</v>
      </c>
      <c r="M82" s="44">
        <f t="shared" si="28"/>
        <v>717292709</v>
      </c>
      <c r="N82" s="9">
        <v>0</v>
      </c>
      <c r="O82" s="44">
        <v>402537395.94</v>
      </c>
      <c r="P82" s="27">
        <f t="shared" si="26"/>
        <v>314755313.06</v>
      </c>
      <c r="Q82" s="9">
        <v>402537395.94</v>
      </c>
      <c r="R82" s="25">
        <f t="shared" si="15"/>
        <v>0.56118986139032401</v>
      </c>
      <c r="S82" s="9">
        <v>183139248.06999999</v>
      </c>
      <c r="T82" s="10">
        <v>171797522.06999999</v>
      </c>
    </row>
    <row r="83" spans="1:259" s="6" customFormat="1" ht="16.5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5" t="s">
        <v>43</v>
      </c>
      <c r="G83" s="23" t="s">
        <v>143</v>
      </c>
      <c r="H83" s="7" t="s">
        <v>5</v>
      </c>
      <c r="I83" s="8" t="s">
        <v>6</v>
      </c>
      <c r="J83" s="44">
        <v>786597200</v>
      </c>
      <c r="K83" s="44"/>
      <c r="L83" s="44"/>
      <c r="M83" s="44">
        <f>J83+K83-L83</f>
        <v>786597200</v>
      </c>
      <c r="N83" s="9">
        <v>0</v>
      </c>
      <c r="O83" s="44">
        <v>542480000</v>
      </c>
      <c r="P83" s="27">
        <f t="shared" si="26"/>
        <v>244117200</v>
      </c>
      <c r="Q83" s="9">
        <v>477480000</v>
      </c>
      <c r="R83" s="25">
        <f t="shared" si="15"/>
        <v>0.60701970462137422</v>
      </c>
      <c r="S83" s="9">
        <v>0</v>
      </c>
      <c r="T83" s="10">
        <v>0</v>
      </c>
      <c r="BD83" s="6">
        <v>408287880</v>
      </c>
      <c r="BE83" s="6">
        <v>408287880</v>
      </c>
      <c r="BF83" s="6">
        <v>408287880</v>
      </c>
      <c r="BG83" s="6">
        <v>408287880</v>
      </c>
      <c r="BH83" s="6">
        <v>408287880</v>
      </c>
      <c r="BI83" s="6">
        <v>408287880</v>
      </c>
      <c r="BJ83" s="6">
        <v>408287880</v>
      </c>
      <c r="BK83" s="6">
        <v>408287880</v>
      </c>
      <c r="BL83" s="6">
        <v>408287880</v>
      </c>
      <c r="BM83" s="6">
        <v>408287880</v>
      </c>
      <c r="BN83" s="6">
        <v>408287880</v>
      </c>
      <c r="BO83" s="6">
        <v>408287880</v>
      </c>
      <c r="BP83" s="6">
        <v>408287880</v>
      </c>
      <c r="BQ83" s="6">
        <v>408287880</v>
      </c>
      <c r="BR83" s="6">
        <v>408287880</v>
      </c>
      <c r="BS83" s="6">
        <v>408287880</v>
      </c>
      <c r="BT83" s="6">
        <v>408287880</v>
      </c>
      <c r="BU83" s="6">
        <v>408287880</v>
      </c>
      <c r="BV83" s="6">
        <v>408287880</v>
      </c>
      <c r="BW83" s="6">
        <v>408287880</v>
      </c>
      <c r="BX83" s="6">
        <v>408287880</v>
      </c>
      <c r="BY83" s="6">
        <v>408287880</v>
      </c>
      <c r="BZ83" s="6">
        <v>408287880</v>
      </c>
      <c r="CA83" s="6">
        <v>408287880</v>
      </c>
      <c r="CB83" s="6">
        <v>408287880</v>
      </c>
      <c r="CC83" s="6">
        <v>408287880</v>
      </c>
      <c r="CD83" s="6">
        <v>408287880</v>
      </c>
      <c r="CE83" s="6">
        <v>408287880</v>
      </c>
      <c r="CF83" s="6">
        <v>408287880</v>
      </c>
      <c r="CG83" s="6">
        <v>408287880</v>
      </c>
      <c r="CH83" s="6">
        <v>408287880</v>
      </c>
      <c r="CI83" s="6">
        <v>408287880</v>
      </c>
      <c r="CJ83" s="6">
        <v>408287880</v>
      </c>
      <c r="CK83" s="6">
        <v>408287880</v>
      </c>
      <c r="CL83" s="6">
        <v>408287880</v>
      </c>
      <c r="CM83" s="6">
        <v>408287880</v>
      </c>
      <c r="CN83" s="6">
        <v>408287880</v>
      </c>
      <c r="CO83" s="6">
        <v>408287880</v>
      </c>
      <c r="CP83" s="6">
        <v>408287880</v>
      </c>
      <c r="CQ83" s="6">
        <v>408287880</v>
      </c>
      <c r="CR83" s="6">
        <v>408287880</v>
      </c>
      <c r="CS83" s="6">
        <v>408287880</v>
      </c>
      <c r="CT83" s="6">
        <v>408287880</v>
      </c>
      <c r="CU83" s="6">
        <v>408287880</v>
      </c>
      <c r="CV83" s="6">
        <v>408287880</v>
      </c>
      <c r="CW83" s="6">
        <v>408287880</v>
      </c>
      <c r="CX83" s="6">
        <v>408287880</v>
      </c>
      <c r="CY83" s="6">
        <v>408287880</v>
      </c>
      <c r="CZ83" s="6">
        <v>408287880</v>
      </c>
      <c r="DA83" s="6">
        <v>408287880</v>
      </c>
      <c r="DB83" s="6">
        <v>408287880</v>
      </c>
      <c r="DC83" s="6">
        <v>408287880</v>
      </c>
      <c r="DD83" s="6">
        <v>408287880</v>
      </c>
      <c r="DE83" s="6">
        <v>408287880</v>
      </c>
      <c r="DF83" s="6">
        <v>408287880</v>
      </c>
      <c r="DG83" s="6">
        <v>408287880</v>
      </c>
      <c r="DH83" s="6">
        <v>408287880</v>
      </c>
      <c r="DI83" s="6">
        <v>408287880</v>
      </c>
      <c r="DJ83" s="6">
        <v>408287880</v>
      </c>
      <c r="DK83" s="6">
        <v>408287880</v>
      </c>
      <c r="DL83" s="6">
        <v>408287880</v>
      </c>
      <c r="DM83" s="6">
        <v>408287880</v>
      </c>
      <c r="DN83" s="6">
        <v>408287880</v>
      </c>
      <c r="DO83" s="6">
        <v>408287880</v>
      </c>
      <c r="DP83" s="6">
        <v>408287880</v>
      </c>
      <c r="DQ83" s="6">
        <v>408287880</v>
      </c>
      <c r="DR83" s="6">
        <v>408287880</v>
      </c>
      <c r="DS83" s="6">
        <v>408287880</v>
      </c>
      <c r="DT83" s="6">
        <v>408287880</v>
      </c>
      <c r="DU83" s="6">
        <v>408287880</v>
      </c>
      <c r="DV83" s="6">
        <v>408287880</v>
      </c>
      <c r="DW83" s="6">
        <v>408287880</v>
      </c>
      <c r="DX83" s="6">
        <v>408287880</v>
      </c>
      <c r="DY83" s="6">
        <v>408287880</v>
      </c>
      <c r="DZ83" s="6">
        <v>408287880</v>
      </c>
      <c r="EA83" s="6">
        <v>408287880</v>
      </c>
      <c r="EB83" s="6">
        <v>408287880</v>
      </c>
      <c r="EC83" s="6">
        <v>408287880</v>
      </c>
      <c r="ED83" s="6">
        <v>408287880</v>
      </c>
      <c r="EE83" s="6">
        <v>408287880</v>
      </c>
      <c r="EF83" s="6">
        <v>408287880</v>
      </c>
      <c r="EG83" s="6">
        <v>408287880</v>
      </c>
      <c r="EH83" s="6">
        <v>408287880</v>
      </c>
      <c r="EI83" s="6">
        <v>408287880</v>
      </c>
      <c r="EJ83" s="6">
        <v>408287880</v>
      </c>
      <c r="EK83" s="6">
        <v>408287880</v>
      </c>
      <c r="EL83" s="6">
        <v>408287880</v>
      </c>
      <c r="EM83" s="6">
        <v>408287880</v>
      </c>
      <c r="EN83" s="6">
        <v>408287880</v>
      </c>
      <c r="EO83" s="6">
        <v>408287880</v>
      </c>
      <c r="EP83" s="6">
        <v>408287880</v>
      </c>
      <c r="EQ83" s="6">
        <v>408287880</v>
      </c>
      <c r="ER83" s="6">
        <v>408287880</v>
      </c>
      <c r="ES83" s="6">
        <v>408287880</v>
      </c>
      <c r="ET83" s="6">
        <v>408287880</v>
      </c>
      <c r="EU83" s="6">
        <v>408287880</v>
      </c>
      <c r="EV83" s="6">
        <v>408287880</v>
      </c>
      <c r="EW83" s="6">
        <v>408287880</v>
      </c>
      <c r="EX83" s="6">
        <v>408287880</v>
      </c>
      <c r="EY83" s="6">
        <v>408287880</v>
      </c>
      <c r="EZ83" s="6">
        <v>408287880</v>
      </c>
      <c r="FA83" s="6">
        <v>408287880</v>
      </c>
      <c r="FB83" s="6">
        <v>408287880</v>
      </c>
      <c r="FC83" s="6">
        <v>408287880</v>
      </c>
      <c r="FD83" s="6">
        <v>408287880</v>
      </c>
      <c r="FE83" s="6">
        <v>408287880</v>
      </c>
      <c r="FF83" s="6">
        <v>408287880</v>
      </c>
      <c r="FG83" s="6">
        <v>408287880</v>
      </c>
      <c r="FH83" s="6">
        <v>408287880</v>
      </c>
      <c r="FI83" s="6">
        <v>408287880</v>
      </c>
      <c r="FJ83" s="6">
        <v>408287880</v>
      </c>
      <c r="FK83" s="6">
        <v>408287880</v>
      </c>
      <c r="FL83" s="6">
        <v>408287880</v>
      </c>
      <c r="FM83" s="6">
        <v>408287880</v>
      </c>
      <c r="FN83" s="6">
        <v>408287880</v>
      </c>
      <c r="FO83" s="6">
        <v>408287880</v>
      </c>
      <c r="FP83" s="6">
        <v>408287880</v>
      </c>
      <c r="FQ83" s="6">
        <v>408287880</v>
      </c>
      <c r="FR83" s="6">
        <v>408287880</v>
      </c>
      <c r="FS83" s="6">
        <v>408287880</v>
      </c>
      <c r="FT83" s="6">
        <v>408287880</v>
      </c>
      <c r="FU83" s="6">
        <v>408287880</v>
      </c>
      <c r="FV83" s="6">
        <v>408287880</v>
      </c>
      <c r="FW83" s="6">
        <v>408287880</v>
      </c>
      <c r="FX83" s="6">
        <v>408287880</v>
      </c>
      <c r="FY83" s="6">
        <v>408287880</v>
      </c>
      <c r="FZ83" s="6">
        <v>408287880</v>
      </c>
      <c r="GA83" s="6">
        <v>408287880</v>
      </c>
      <c r="GB83" s="6">
        <v>408287880</v>
      </c>
      <c r="GC83" s="6">
        <v>408287880</v>
      </c>
      <c r="GD83" s="6">
        <v>408287880</v>
      </c>
      <c r="GE83" s="6">
        <v>408287880</v>
      </c>
      <c r="GF83" s="6">
        <v>408287880</v>
      </c>
      <c r="GG83" s="6">
        <v>408287880</v>
      </c>
      <c r="GH83" s="6">
        <v>408287880</v>
      </c>
      <c r="GI83" s="6">
        <v>408287880</v>
      </c>
      <c r="GJ83" s="6">
        <v>408287880</v>
      </c>
      <c r="GK83" s="6">
        <v>408287880</v>
      </c>
      <c r="GL83" s="6">
        <v>408287880</v>
      </c>
      <c r="GM83" s="6">
        <v>408287880</v>
      </c>
      <c r="GN83" s="6">
        <v>408287880</v>
      </c>
      <c r="GO83" s="6">
        <v>408287880</v>
      </c>
      <c r="GP83" s="6">
        <v>408287880</v>
      </c>
      <c r="GQ83" s="6">
        <v>408287880</v>
      </c>
      <c r="GR83" s="6">
        <v>408287880</v>
      </c>
      <c r="GS83" s="6">
        <v>408287880</v>
      </c>
      <c r="GT83" s="6">
        <v>408287880</v>
      </c>
      <c r="GU83" s="6">
        <v>408287880</v>
      </c>
      <c r="GV83" s="6">
        <v>408287880</v>
      </c>
      <c r="GW83" s="6">
        <v>408287880</v>
      </c>
      <c r="GX83" s="6">
        <v>408287880</v>
      </c>
      <c r="GY83" s="6">
        <v>408287880</v>
      </c>
      <c r="GZ83" s="6">
        <v>408287880</v>
      </c>
      <c r="HA83" s="6">
        <v>408287880</v>
      </c>
      <c r="HB83" s="6">
        <v>408287880</v>
      </c>
      <c r="HC83" s="6">
        <v>408287880</v>
      </c>
      <c r="HD83" s="6">
        <v>408287880</v>
      </c>
      <c r="HE83" s="6">
        <v>408287880</v>
      </c>
      <c r="HF83" s="6">
        <v>408287880</v>
      </c>
      <c r="HG83" s="6">
        <v>408287880</v>
      </c>
      <c r="HH83" s="6">
        <v>408287880</v>
      </c>
      <c r="HI83" s="6">
        <v>408287880</v>
      </c>
      <c r="HJ83" s="6">
        <v>408287880</v>
      </c>
      <c r="HK83" s="6">
        <v>408287880</v>
      </c>
      <c r="HL83" s="6">
        <v>408287880</v>
      </c>
      <c r="HM83" s="6">
        <v>408287880</v>
      </c>
      <c r="HN83" s="6">
        <v>408287880</v>
      </c>
      <c r="HO83" s="6">
        <v>408287880</v>
      </c>
      <c r="HP83" s="6">
        <v>408287880</v>
      </c>
      <c r="HQ83" s="6">
        <v>408287880</v>
      </c>
      <c r="HR83" s="6">
        <v>408287880</v>
      </c>
      <c r="HS83" s="6">
        <v>408287880</v>
      </c>
      <c r="HT83" s="6">
        <v>408287880</v>
      </c>
      <c r="HU83" s="6">
        <v>408287880</v>
      </c>
      <c r="HV83" s="6">
        <v>408287880</v>
      </c>
      <c r="HW83" s="6">
        <v>408287880</v>
      </c>
      <c r="HX83" s="6">
        <v>408287880</v>
      </c>
      <c r="HY83" s="6">
        <v>408287880</v>
      </c>
      <c r="HZ83" s="6">
        <v>408287880</v>
      </c>
      <c r="IA83" s="6">
        <v>408287880</v>
      </c>
      <c r="IB83" s="6">
        <v>408287880</v>
      </c>
      <c r="IC83" s="6">
        <v>408287880</v>
      </c>
      <c r="ID83" s="6">
        <v>408287880</v>
      </c>
      <c r="IE83" s="6">
        <v>408287880</v>
      </c>
      <c r="IF83" s="6">
        <v>408287880</v>
      </c>
      <c r="IG83" s="6">
        <v>408287880</v>
      </c>
      <c r="IH83" s="6">
        <v>408287880</v>
      </c>
      <c r="II83" s="6">
        <v>408287880</v>
      </c>
      <c r="IJ83" s="6">
        <v>408287880</v>
      </c>
      <c r="IK83" s="6">
        <v>408287880</v>
      </c>
      <c r="IL83" s="6">
        <v>408287880</v>
      </c>
      <c r="IM83" s="6">
        <v>408287880</v>
      </c>
      <c r="IN83" s="6">
        <v>408287880</v>
      </c>
      <c r="IO83" s="6">
        <v>408287880</v>
      </c>
      <c r="IP83" s="6">
        <v>408287880</v>
      </c>
      <c r="IQ83" s="6">
        <v>408287880</v>
      </c>
      <c r="IR83" s="6">
        <v>408287880</v>
      </c>
      <c r="IS83" s="6">
        <v>408287880</v>
      </c>
      <c r="IT83" s="6">
        <v>408287880</v>
      </c>
      <c r="IU83" s="6">
        <v>408287880</v>
      </c>
      <c r="IV83" s="6">
        <v>408287880</v>
      </c>
      <c r="IW83" s="6">
        <v>408287880</v>
      </c>
      <c r="IX83" s="6">
        <v>408287880</v>
      </c>
      <c r="IY83" s="6">
        <v>408287880</v>
      </c>
    </row>
    <row r="84" spans="1:259" s="6" customFormat="1" ht="16.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47</v>
      </c>
      <c r="F84" s="7"/>
      <c r="G84" s="23" t="s">
        <v>73</v>
      </c>
      <c r="H84" s="7" t="s">
        <v>5</v>
      </c>
      <c r="I84" s="8" t="s">
        <v>6</v>
      </c>
      <c r="J84" s="44">
        <v>1797427001</v>
      </c>
      <c r="K84" s="44"/>
      <c r="L84" s="44"/>
      <c r="M84" s="44">
        <f t="shared" si="28"/>
        <v>1797427001</v>
      </c>
      <c r="N84" s="9">
        <v>0</v>
      </c>
      <c r="O84" s="44">
        <v>1797427001</v>
      </c>
      <c r="P84" s="27">
        <f t="shared" si="26"/>
        <v>0</v>
      </c>
      <c r="Q84" s="9">
        <v>568893305</v>
      </c>
      <c r="R84" s="25">
        <f t="shared" si="15"/>
        <v>0.31650426119308084</v>
      </c>
      <c r="S84" s="9">
        <v>539384804</v>
      </c>
      <c r="T84" s="10">
        <v>523103677</v>
      </c>
    </row>
    <row r="85" spans="1:259" ht="16.5" customHeight="1" x14ac:dyDescent="0.25">
      <c r="A85" s="92" t="s">
        <v>3</v>
      </c>
      <c r="B85" s="81" t="s">
        <v>50</v>
      </c>
      <c r="C85" s="81"/>
      <c r="D85" s="81"/>
      <c r="E85" s="81"/>
      <c r="F85" s="81"/>
      <c r="G85" s="81" t="s">
        <v>78</v>
      </c>
      <c r="H85" s="81" t="s">
        <v>5</v>
      </c>
      <c r="I85" s="81" t="s">
        <v>6</v>
      </c>
      <c r="J85" s="64">
        <f t="shared" ref="J85:Q85" si="32">J45+J36</f>
        <v>49726600000</v>
      </c>
      <c r="K85" s="64">
        <f t="shared" si="32"/>
        <v>1561999792.8899999</v>
      </c>
      <c r="L85" s="64">
        <f t="shared" si="32"/>
        <v>1561999792.8899999</v>
      </c>
      <c r="M85" s="119">
        <f t="shared" si="32"/>
        <v>49726600000</v>
      </c>
      <c r="N85" s="64">
        <f t="shared" si="32"/>
        <v>0</v>
      </c>
      <c r="O85" s="64">
        <f t="shared" si="32"/>
        <v>35782569471.279999</v>
      </c>
      <c r="P85" s="64">
        <f t="shared" si="32"/>
        <v>13944030528.719997</v>
      </c>
      <c r="Q85" s="64">
        <f t="shared" si="32"/>
        <v>33086097450.029995</v>
      </c>
      <c r="R85" s="76">
        <f t="shared" si="15"/>
        <v>0.66536013823647699</v>
      </c>
      <c r="S85" s="64">
        <f>S45+S36</f>
        <v>15594464981</v>
      </c>
      <c r="T85" s="73">
        <f>T45+T36</f>
        <v>15322178656</v>
      </c>
      <c r="U85" s="32"/>
    </row>
    <row r="86" spans="1:259" ht="16.5" customHeight="1" x14ac:dyDescent="0.25">
      <c r="A86" s="92" t="s">
        <v>3</v>
      </c>
      <c r="B86" s="81" t="s">
        <v>50</v>
      </c>
      <c r="C86" s="81"/>
      <c r="D86" s="81"/>
      <c r="E86" s="81"/>
      <c r="F86" s="81"/>
      <c r="G86" s="81" t="s">
        <v>78</v>
      </c>
      <c r="H86" s="81" t="s">
        <v>8</v>
      </c>
      <c r="I86" s="81">
        <v>20</v>
      </c>
      <c r="J86" s="64">
        <f t="shared" ref="J86:Q86" si="33">J46</f>
        <v>950000000</v>
      </c>
      <c r="K86" s="64">
        <f t="shared" si="33"/>
        <v>0</v>
      </c>
      <c r="L86" s="64">
        <f t="shared" si="33"/>
        <v>0</v>
      </c>
      <c r="M86" s="64">
        <f t="shared" si="33"/>
        <v>950000000</v>
      </c>
      <c r="N86" s="64">
        <f t="shared" si="33"/>
        <v>0</v>
      </c>
      <c r="O86" s="64">
        <f t="shared" si="33"/>
        <v>0</v>
      </c>
      <c r="P86" s="64">
        <f t="shared" si="33"/>
        <v>950000000</v>
      </c>
      <c r="Q86" s="64">
        <f t="shared" si="33"/>
        <v>0</v>
      </c>
      <c r="R86" s="76">
        <f t="shared" si="15"/>
        <v>0</v>
      </c>
      <c r="S86" s="64">
        <f>S46</f>
        <v>0</v>
      </c>
      <c r="T86" s="73">
        <f>T46</f>
        <v>0</v>
      </c>
      <c r="U86" s="32"/>
    </row>
    <row r="87" spans="1:259" ht="16.5" customHeight="1" x14ac:dyDescent="0.25">
      <c r="A87" s="92" t="s">
        <v>3</v>
      </c>
      <c r="B87" s="81" t="s">
        <v>50</v>
      </c>
      <c r="C87" s="81"/>
      <c r="D87" s="81"/>
      <c r="E87" s="81"/>
      <c r="F87" s="81"/>
      <c r="G87" s="81" t="s">
        <v>78</v>
      </c>
      <c r="H87" s="81" t="s">
        <v>8</v>
      </c>
      <c r="I87" s="81">
        <v>21</v>
      </c>
      <c r="J87" s="64">
        <f>J47</f>
        <v>475113000</v>
      </c>
      <c r="K87" s="64"/>
      <c r="L87" s="64">
        <f t="shared" ref="L87:Q87" si="34">L47</f>
        <v>0</v>
      </c>
      <c r="M87" s="64">
        <f t="shared" si="34"/>
        <v>475113000</v>
      </c>
      <c r="N87" s="64">
        <f t="shared" si="34"/>
        <v>0</v>
      </c>
      <c r="O87" s="64">
        <f t="shared" si="34"/>
        <v>0</v>
      </c>
      <c r="P87" s="64">
        <f t="shared" si="34"/>
        <v>475113000</v>
      </c>
      <c r="Q87" s="64">
        <f t="shared" si="34"/>
        <v>0</v>
      </c>
      <c r="R87" s="76">
        <f t="shared" si="15"/>
        <v>0</v>
      </c>
      <c r="S87" s="64">
        <f>S47</f>
        <v>0</v>
      </c>
      <c r="T87" s="73">
        <f>T47</f>
        <v>0</v>
      </c>
      <c r="U87" s="32"/>
    </row>
    <row r="88" spans="1:259" ht="15.75" customHeight="1" thickBot="1" x14ac:dyDescent="0.3">
      <c r="A88" s="132" t="s">
        <v>81</v>
      </c>
      <c r="B88" s="133"/>
      <c r="C88" s="133"/>
      <c r="D88" s="133"/>
      <c r="E88" s="133"/>
      <c r="F88" s="133"/>
      <c r="G88" s="133"/>
      <c r="H88" s="133"/>
      <c r="I88" s="134"/>
      <c r="J88" s="77">
        <f t="shared" ref="J88:Q88" si="35">SUM(J85:J87)</f>
        <v>51151713000</v>
      </c>
      <c r="K88" s="77">
        <f>SUM(K85:K87)</f>
        <v>1561999792.8899999</v>
      </c>
      <c r="L88" s="77">
        <f>SUM(L85:L87)</f>
        <v>1561999792.8899999</v>
      </c>
      <c r="M88" s="77">
        <f>SUM(M85:M87)</f>
        <v>51151713000</v>
      </c>
      <c r="N88" s="77">
        <f t="shared" si="35"/>
        <v>0</v>
      </c>
      <c r="O88" s="77">
        <f t="shared" si="35"/>
        <v>35782569471.279999</v>
      </c>
      <c r="P88" s="77">
        <f t="shared" si="35"/>
        <v>15369143528.719997</v>
      </c>
      <c r="Q88" s="77">
        <f t="shared" si="35"/>
        <v>33086097450.029995</v>
      </c>
      <c r="R88" s="76">
        <f t="shared" si="15"/>
        <v>0.64682286300030645</v>
      </c>
      <c r="S88" s="77">
        <f>SUM(S85:S87)</f>
        <v>15594464981</v>
      </c>
      <c r="T88" s="78">
        <f>SUM(T85:T87)</f>
        <v>15322178656</v>
      </c>
    </row>
    <row r="89" spans="1:259" ht="15.75" customHeight="1" thickBot="1" x14ac:dyDescent="0.3">
      <c r="A89" s="126" t="s">
        <v>86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8"/>
    </row>
    <row r="90" spans="1:259" s="47" customFormat="1" ht="24.75" customHeight="1" x14ac:dyDescent="0.25">
      <c r="A90" s="90" t="s">
        <v>3</v>
      </c>
      <c r="B90" s="11" t="s">
        <v>51</v>
      </c>
      <c r="C90" s="11" t="s">
        <v>51</v>
      </c>
      <c r="D90" s="11"/>
      <c r="E90" s="11"/>
      <c r="F90" s="11"/>
      <c r="G90" s="12" t="s">
        <v>103</v>
      </c>
      <c r="H90" s="11" t="s">
        <v>5</v>
      </c>
      <c r="I90" s="13">
        <v>10</v>
      </c>
      <c r="J90" s="14">
        <f>J91</f>
        <v>29515700000</v>
      </c>
      <c r="K90" s="14">
        <f t="shared" ref="K90:L90" si="36">K91</f>
        <v>0</v>
      </c>
      <c r="L90" s="24">
        <f t="shared" si="36"/>
        <v>0</v>
      </c>
      <c r="M90" s="24">
        <f t="shared" ref="M90:P91" si="37">M91</f>
        <v>29515700000</v>
      </c>
      <c r="N90" s="14">
        <f t="shared" si="37"/>
        <v>29515700000</v>
      </c>
      <c r="O90" s="14">
        <f t="shared" si="37"/>
        <v>0</v>
      </c>
      <c r="P90" s="24">
        <f t="shared" si="37"/>
        <v>0</v>
      </c>
      <c r="Q90" s="14">
        <f t="shared" ref="Q90" si="38">Q91</f>
        <v>0</v>
      </c>
      <c r="R90" s="50">
        <f t="shared" ref="R90:R101" si="39">IF(Q90&gt;1,Q90/(M90),0)</f>
        <v>0</v>
      </c>
      <c r="S90" s="14">
        <f>S91</f>
        <v>0</v>
      </c>
      <c r="T90" s="22">
        <f>T91</f>
        <v>0</v>
      </c>
    </row>
    <row r="91" spans="1:259" s="47" customFormat="1" ht="24.75" customHeight="1" x14ac:dyDescent="0.25">
      <c r="A91" s="90" t="s">
        <v>3</v>
      </c>
      <c r="B91" s="11" t="s">
        <v>51</v>
      </c>
      <c r="C91" s="11" t="s">
        <v>51</v>
      </c>
      <c r="D91" s="11" t="s">
        <v>34</v>
      </c>
      <c r="E91" s="11"/>
      <c r="F91" s="11"/>
      <c r="G91" s="12" t="s">
        <v>88</v>
      </c>
      <c r="H91" s="11" t="s">
        <v>5</v>
      </c>
      <c r="I91" s="13">
        <v>10</v>
      </c>
      <c r="J91" s="14">
        <f>J92</f>
        <v>29515700000</v>
      </c>
      <c r="K91" s="14">
        <f>K92</f>
        <v>0</v>
      </c>
      <c r="L91" s="24">
        <f>L92</f>
        <v>0</v>
      </c>
      <c r="M91" s="24">
        <f t="shared" si="37"/>
        <v>29515700000</v>
      </c>
      <c r="N91" s="14">
        <f t="shared" si="37"/>
        <v>29515700000</v>
      </c>
      <c r="O91" s="14">
        <f t="shared" si="37"/>
        <v>0</v>
      </c>
      <c r="P91" s="24">
        <f t="shared" si="37"/>
        <v>0</v>
      </c>
      <c r="Q91" s="14">
        <f>Q92</f>
        <v>0</v>
      </c>
      <c r="R91" s="50">
        <f t="shared" si="39"/>
        <v>0</v>
      </c>
      <c r="S91" s="14">
        <f>S92</f>
        <v>0</v>
      </c>
      <c r="T91" s="22">
        <f>T92</f>
        <v>0</v>
      </c>
    </row>
    <row r="92" spans="1:259" s="47" customFormat="1" ht="24.75" customHeight="1" x14ac:dyDescent="0.25">
      <c r="A92" s="91" t="s">
        <v>3</v>
      </c>
      <c r="B92" s="7" t="s">
        <v>51</v>
      </c>
      <c r="C92" s="7" t="s">
        <v>51</v>
      </c>
      <c r="D92" s="7" t="s">
        <v>34</v>
      </c>
      <c r="E92" s="7">
        <v>999</v>
      </c>
      <c r="F92" s="7"/>
      <c r="G92" s="23" t="s">
        <v>229</v>
      </c>
      <c r="H92" s="7" t="s">
        <v>5</v>
      </c>
      <c r="I92" s="8">
        <v>10</v>
      </c>
      <c r="J92" s="27">
        <v>29515700000</v>
      </c>
      <c r="K92" s="27">
        <v>0</v>
      </c>
      <c r="L92" s="27">
        <v>0</v>
      </c>
      <c r="M92" s="27">
        <f t="shared" ref="M92:M99" si="40">J92+K92-L92</f>
        <v>29515700000</v>
      </c>
      <c r="N92" s="27">
        <v>29515700000</v>
      </c>
      <c r="O92" s="9">
        <v>0</v>
      </c>
      <c r="P92" s="27">
        <f>+M92-O92-N92</f>
        <v>0</v>
      </c>
      <c r="Q92" s="9">
        <v>0</v>
      </c>
      <c r="R92" s="50">
        <f t="shared" si="39"/>
        <v>0</v>
      </c>
      <c r="S92" s="9">
        <v>0</v>
      </c>
      <c r="T92" s="10">
        <v>0</v>
      </c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70</v>
      </c>
      <c r="D93" s="11"/>
      <c r="E93" s="11"/>
      <c r="F93" s="11"/>
      <c r="G93" s="12" t="s">
        <v>139</v>
      </c>
      <c r="H93" s="11" t="s">
        <v>5</v>
      </c>
      <c r="I93" s="13">
        <v>10</v>
      </c>
      <c r="J93" s="14">
        <f>J94</f>
        <v>1329700000</v>
      </c>
      <c r="K93" s="24">
        <f t="shared" ref="K93:L94" si="41">K94</f>
        <v>0</v>
      </c>
      <c r="L93" s="24">
        <f t="shared" si="41"/>
        <v>0</v>
      </c>
      <c r="M93" s="24">
        <f t="shared" si="40"/>
        <v>1329700000</v>
      </c>
      <c r="N93" s="14">
        <v>0</v>
      </c>
      <c r="O93" s="14">
        <f t="shared" ref="O93:Q94" si="42">O94</f>
        <v>819541220</v>
      </c>
      <c r="P93" s="24">
        <f>P94</f>
        <v>510158780</v>
      </c>
      <c r="Q93" s="14">
        <f t="shared" si="42"/>
        <v>819541220</v>
      </c>
      <c r="R93" s="50">
        <f t="shared" si="39"/>
        <v>0.61633542904414529</v>
      </c>
      <c r="S93" s="14">
        <f>S94</f>
        <v>722975931</v>
      </c>
      <c r="T93" s="22">
        <f>T94</f>
        <v>722975931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70</v>
      </c>
      <c r="D94" s="11" t="s">
        <v>50</v>
      </c>
      <c r="E94" s="11"/>
      <c r="F94" s="11"/>
      <c r="G94" s="12" t="s">
        <v>104</v>
      </c>
      <c r="H94" s="11" t="s">
        <v>5</v>
      </c>
      <c r="I94" s="13">
        <v>10</v>
      </c>
      <c r="J94" s="24">
        <f>J95</f>
        <v>1329700000</v>
      </c>
      <c r="K94" s="24">
        <f t="shared" si="41"/>
        <v>0</v>
      </c>
      <c r="L94" s="24">
        <f t="shared" si="41"/>
        <v>0</v>
      </c>
      <c r="M94" s="24">
        <f t="shared" si="40"/>
        <v>1329700000</v>
      </c>
      <c r="N94" s="24"/>
      <c r="O94" s="24">
        <f t="shared" si="42"/>
        <v>819541220</v>
      </c>
      <c r="P94" s="24">
        <f t="shared" si="42"/>
        <v>510158780</v>
      </c>
      <c r="Q94" s="14">
        <f t="shared" si="42"/>
        <v>819541220</v>
      </c>
      <c r="R94" s="50">
        <f t="shared" si="39"/>
        <v>0.61633542904414529</v>
      </c>
      <c r="S94" s="14">
        <f>S95</f>
        <v>722975931</v>
      </c>
      <c r="T94" s="22">
        <f>T95</f>
        <v>722975931</v>
      </c>
    </row>
    <row r="95" spans="1:259" s="6" customFormat="1" ht="24.75" customHeight="1" x14ac:dyDescent="0.25">
      <c r="A95" s="90" t="s">
        <v>3</v>
      </c>
      <c r="B95" s="11" t="s">
        <v>51</v>
      </c>
      <c r="C95" s="11" t="s">
        <v>70</v>
      </c>
      <c r="D95" s="11" t="s">
        <v>50</v>
      </c>
      <c r="E95" s="11" t="s">
        <v>71</v>
      </c>
      <c r="F95" s="11"/>
      <c r="G95" s="12" t="s">
        <v>230</v>
      </c>
      <c r="H95" s="11" t="s">
        <v>5</v>
      </c>
      <c r="I95" s="13">
        <v>10</v>
      </c>
      <c r="J95" s="24">
        <f>J96+J97</f>
        <v>1329700000</v>
      </c>
      <c r="K95" s="24">
        <f t="shared" ref="K95:L95" si="43">K96+K97</f>
        <v>0</v>
      </c>
      <c r="L95" s="24">
        <f t="shared" si="43"/>
        <v>0</v>
      </c>
      <c r="M95" s="24">
        <f t="shared" si="40"/>
        <v>1329700000</v>
      </c>
      <c r="N95" s="24">
        <f>N96+N97</f>
        <v>0</v>
      </c>
      <c r="O95" s="24">
        <f>O96+O97</f>
        <v>819541220</v>
      </c>
      <c r="P95" s="24">
        <f>P96+P97</f>
        <v>510158780</v>
      </c>
      <c r="Q95" s="24">
        <f>Q96+Q97</f>
        <v>819541220</v>
      </c>
      <c r="R95" s="26">
        <f>IF(Q95&gt;1,Q95/(M95),0)</f>
        <v>0.61633542904414529</v>
      </c>
      <c r="S95" s="14">
        <f>S96+S97</f>
        <v>722975931</v>
      </c>
      <c r="T95" s="22">
        <f>T96+T97</f>
        <v>722975931</v>
      </c>
    </row>
    <row r="96" spans="1:259" s="6" customFormat="1" ht="16.5" customHeight="1" x14ac:dyDescent="0.25">
      <c r="A96" s="91" t="s">
        <v>3</v>
      </c>
      <c r="B96" s="7" t="s">
        <v>51</v>
      </c>
      <c r="C96" s="7" t="s">
        <v>70</v>
      </c>
      <c r="D96" s="7" t="s">
        <v>50</v>
      </c>
      <c r="E96" s="7" t="s">
        <v>71</v>
      </c>
      <c r="F96" s="7" t="s">
        <v>35</v>
      </c>
      <c r="G96" s="23" t="s">
        <v>74</v>
      </c>
      <c r="H96" s="7" t="s">
        <v>5</v>
      </c>
      <c r="I96" s="7" t="s">
        <v>6</v>
      </c>
      <c r="J96" s="27">
        <v>840300740</v>
      </c>
      <c r="K96" s="27"/>
      <c r="L96" s="27"/>
      <c r="M96" s="27">
        <f t="shared" si="40"/>
        <v>840300740</v>
      </c>
      <c r="N96" s="9"/>
      <c r="O96" s="27">
        <v>673825874</v>
      </c>
      <c r="P96" s="27">
        <f>+M96-O96-N96</f>
        <v>166474866</v>
      </c>
      <c r="Q96" s="27">
        <v>673825874</v>
      </c>
      <c r="R96" s="25">
        <f t="shared" si="39"/>
        <v>0.80188656504098754</v>
      </c>
      <c r="S96" s="27">
        <v>577260585</v>
      </c>
      <c r="T96" s="51">
        <v>577260585</v>
      </c>
    </row>
    <row r="97" spans="1:27" s="47" customFormat="1" ht="16.5" customHeight="1" x14ac:dyDescent="0.25">
      <c r="A97" s="91" t="s">
        <v>3</v>
      </c>
      <c r="B97" s="7" t="s">
        <v>51</v>
      </c>
      <c r="C97" s="7" t="s">
        <v>70</v>
      </c>
      <c r="D97" s="7" t="s">
        <v>50</v>
      </c>
      <c r="E97" s="7" t="s">
        <v>71</v>
      </c>
      <c r="F97" s="7" t="s">
        <v>37</v>
      </c>
      <c r="G97" s="23" t="s">
        <v>75</v>
      </c>
      <c r="H97" s="7" t="s">
        <v>5</v>
      </c>
      <c r="I97" s="7" t="s">
        <v>6</v>
      </c>
      <c r="J97" s="27">
        <v>489399260</v>
      </c>
      <c r="K97" s="27"/>
      <c r="L97" s="27"/>
      <c r="M97" s="27">
        <f t="shared" si="40"/>
        <v>489399260</v>
      </c>
      <c r="N97" s="9">
        <v>0</v>
      </c>
      <c r="O97" s="27">
        <v>145715346</v>
      </c>
      <c r="P97" s="27">
        <f>+M97-O97-N97</f>
        <v>343683914</v>
      </c>
      <c r="Q97" s="27">
        <v>145715346</v>
      </c>
      <c r="R97" s="25">
        <f t="shared" si="39"/>
        <v>0.29774329041690828</v>
      </c>
      <c r="S97" s="27">
        <v>145715346</v>
      </c>
      <c r="T97" s="51">
        <v>145715346</v>
      </c>
    </row>
    <row r="98" spans="1:27" s="6" customFormat="1" ht="16.5" customHeight="1" x14ac:dyDescent="0.25">
      <c r="A98" s="90" t="s">
        <v>3</v>
      </c>
      <c r="B98" s="11" t="s">
        <v>51</v>
      </c>
      <c r="C98" s="11" t="s">
        <v>6</v>
      </c>
      <c r="D98" s="11"/>
      <c r="E98" s="11"/>
      <c r="F98" s="11"/>
      <c r="G98" s="12" t="s">
        <v>85</v>
      </c>
      <c r="H98" s="11" t="s">
        <v>5</v>
      </c>
      <c r="I98" s="11">
        <v>11</v>
      </c>
      <c r="J98" s="24">
        <f>J99</f>
        <v>0</v>
      </c>
      <c r="K98" s="24"/>
      <c r="L98" s="24"/>
      <c r="M98" s="24">
        <f t="shared" si="40"/>
        <v>0</v>
      </c>
      <c r="N98" s="14">
        <f>N99</f>
        <v>0</v>
      </c>
      <c r="O98" s="24">
        <f>O99</f>
        <v>0</v>
      </c>
      <c r="P98" s="24">
        <f>P99</f>
        <v>0</v>
      </c>
      <c r="Q98" s="24"/>
      <c r="R98" s="26">
        <f t="shared" si="39"/>
        <v>0</v>
      </c>
      <c r="S98" s="24"/>
      <c r="T98" s="33"/>
    </row>
    <row r="99" spans="1:27" s="6" customFormat="1" ht="16.5" customHeight="1" x14ac:dyDescent="0.25">
      <c r="A99" s="90" t="s">
        <v>3</v>
      </c>
      <c r="B99" s="71" t="s">
        <v>51</v>
      </c>
      <c r="C99" s="7" t="s">
        <v>6</v>
      </c>
      <c r="D99" s="7"/>
      <c r="E99" s="7"/>
      <c r="F99" s="7"/>
      <c r="G99" s="107" t="s">
        <v>85</v>
      </c>
      <c r="H99" s="7" t="s">
        <v>5</v>
      </c>
      <c r="I99" s="7">
        <v>11</v>
      </c>
      <c r="J99" s="27">
        <v>0</v>
      </c>
      <c r="K99" s="27">
        <v>0</v>
      </c>
      <c r="L99" s="27">
        <v>0</v>
      </c>
      <c r="M99" s="27">
        <f t="shared" si="40"/>
        <v>0</v>
      </c>
      <c r="N99" s="9">
        <v>0</v>
      </c>
      <c r="O99" s="9"/>
      <c r="P99" s="27">
        <f>+M99-O99-N99</f>
        <v>0</v>
      </c>
      <c r="Q99" s="27"/>
      <c r="R99" s="25">
        <f t="shared" si="39"/>
        <v>0</v>
      </c>
      <c r="S99" s="27"/>
      <c r="T99" s="51"/>
    </row>
    <row r="100" spans="1:27" s="55" customFormat="1" ht="16.5" customHeight="1" x14ac:dyDescent="0.25">
      <c r="A100" s="92" t="s">
        <v>3</v>
      </c>
      <c r="B100" s="81" t="s">
        <v>51</v>
      </c>
      <c r="C100" s="81"/>
      <c r="D100" s="81"/>
      <c r="E100" s="81"/>
      <c r="F100" s="81"/>
      <c r="G100" s="82" t="s">
        <v>17</v>
      </c>
      <c r="H100" s="81" t="s">
        <v>5</v>
      </c>
      <c r="I100" s="83" t="s">
        <v>6</v>
      </c>
      <c r="J100" s="64">
        <f t="shared" ref="J100:Q100" si="44">J98+J93+J90</f>
        <v>30845400000</v>
      </c>
      <c r="K100" s="64">
        <f t="shared" si="44"/>
        <v>0</v>
      </c>
      <c r="L100" s="64">
        <f t="shared" si="44"/>
        <v>0</v>
      </c>
      <c r="M100" s="64">
        <f t="shared" si="44"/>
        <v>30845400000</v>
      </c>
      <c r="N100" s="64">
        <f t="shared" si="44"/>
        <v>29515700000</v>
      </c>
      <c r="O100" s="64">
        <f t="shared" si="44"/>
        <v>819541220</v>
      </c>
      <c r="P100" s="64">
        <f t="shared" si="44"/>
        <v>510158780</v>
      </c>
      <c r="Q100" s="64">
        <f t="shared" si="44"/>
        <v>819541220</v>
      </c>
      <c r="R100" s="76">
        <f t="shared" si="39"/>
        <v>2.6569317305011445E-2</v>
      </c>
      <c r="S100" s="64">
        <f>S98+S93+S90</f>
        <v>722975931</v>
      </c>
      <c r="T100" s="73">
        <f>T98+T93+T90</f>
        <v>722975931</v>
      </c>
      <c r="U100" s="54"/>
      <c r="V100" s="54"/>
      <c r="W100" s="54"/>
      <c r="X100" s="54"/>
      <c r="Y100" s="54"/>
      <c r="Z100" s="54"/>
      <c r="AA100" s="54"/>
    </row>
    <row r="101" spans="1:27" s="6" customFormat="1" ht="16.5" customHeight="1" thickBot="1" x14ac:dyDescent="0.3">
      <c r="A101" s="132" t="s">
        <v>27</v>
      </c>
      <c r="B101" s="133"/>
      <c r="C101" s="133"/>
      <c r="D101" s="133"/>
      <c r="E101" s="133"/>
      <c r="F101" s="133"/>
      <c r="G101" s="133"/>
      <c r="H101" s="133"/>
      <c r="I101" s="134"/>
      <c r="J101" s="77">
        <f>J100</f>
        <v>30845400000</v>
      </c>
      <c r="K101" s="77">
        <f t="shared" ref="K101:L101" si="45">K100</f>
        <v>0</v>
      </c>
      <c r="L101" s="77">
        <f t="shared" si="45"/>
        <v>0</v>
      </c>
      <c r="M101" s="77">
        <f>M100</f>
        <v>30845400000</v>
      </c>
      <c r="N101" s="77">
        <f>N100</f>
        <v>29515700000</v>
      </c>
      <c r="O101" s="77">
        <f>O100</f>
        <v>819541220</v>
      </c>
      <c r="P101" s="77">
        <f>P100</f>
        <v>510158780</v>
      </c>
      <c r="Q101" s="77">
        <f>Q100</f>
        <v>819541220</v>
      </c>
      <c r="R101" s="76">
        <f t="shared" si="39"/>
        <v>2.6569317305011445E-2</v>
      </c>
      <c r="S101" s="77">
        <f>S100</f>
        <v>722975931</v>
      </c>
      <c r="T101" s="78">
        <f>T100</f>
        <v>722975931</v>
      </c>
    </row>
    <row r="102" spans="1:27" s="47" customFormat="1" ht="16.5" customHeight="1" thickBot="1" x14ac:dyDescent="0.3">
      <c r="A102" s="126" t="s">
        <v>101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8"/>
    </row>
    <row r="103" spans="1:27" s="47" customFormat="1" ht="16.5" customHeight="1" x14ac:dyDescent="0.25">
      <c r="A103" s="90" t="s">
        <v>3</v>
      </c>
      <c r="B103" s="11" t="s">
        <v>72</v>
      </c>
      <c r="C103" s="11"/>
      <c r="D103" s="11"/>
      <c r="E103" s="11"/>
      <c r="F103" s="11"/>
      <c r="G103" s="12" t="s">
        <v>84</v>
      </c>
      <c r="H103" s="11" t="s">
        <v>5</v>
      </c>
      <c r="I103" s="11" t="s">
        <v>6</v>
      </c>
      <c r="J103" s="24">
        <f>J105</f>
        <v>484300000</v>
      </c>
      <c r="K103" s="24">
        <f t="shared" ref="K103:L103" si="46">K105</f>
        <v>0</v>
      </c>
      <c r="L103" s="24">
        <f t="shared" si="46"/>
        <v>0</v>
      </c>
      <c r="M103" s="24">
        <f>M105</f>
        <v>484300000</v>
      </c>
      <c r="N103" s="24">
        <f>N105+N109</f>
        <v>0</v>
      </c>
      <c r="O103" s="24">
        <f>O105</f>
        <v>392247229</v>
      </c>
      <c r="P103" s="24">
        <f>P105</f>
        <v>92052771</v>
      </c>
      <c r="Q103" s="24">
        <f>Q105</f>
        <v>392247229</v>
      </c>
      <c r="R103" s="26">
        <f t="shared" ref="R103:R117" si="47">IF(Q103&gt;1,Q103/(M103),0)</f>
        <v>0.80992613875696884</v>
      </c>
      <c r="S103" s="24">
        <f>S105</f>
        <v>392247229</v>
      </c>
      <c r="T103" s="33">
        <f>T105</f>
        <v>392247229</v>
      </c>
    </row>
    <row r="104" spans="1:27" s="47" customFormat="1" ht="16.5" customHeight="1" x14ac:dyDescent="0.25">
      <c r="A104" s="90" t="s">
        <v>3</v>
      </c>
      <c r="B104" s="11" t="s">
        <v>72</v>
      </c>
      <c r="C104" s="11"/>
      <c r="D104" s="11"/>
      <c r="E104" s="11"/>
      <c r="F104" s="11"/>
      <c r="G104" s="12" t="s">
        <v>84</v>
      </c>
      <c r="H104" s="11" t="s">
        <v>5</v>
      </c>
      <c r="I104" s="11">
        <v>11</v>
      </c>
      <c r="J104" s="24">
        <f>J108</f>
        <v>877200000</v>
      </c>
      <c r="K104" s="24">
        <f t="shared" ref="K104:L104" si="48">K108</f>
        <v>0</v>
      </c>
      <c r="L104" s="24">
        <f t="shared" si="48"/>
        <v>0</v>
      </c>
      <c r="M104" s="24">
        <f>M108</f>
        <v>877200000</v>
      </c>
      <c r="N104" s="24">
        <f>N108</f>
        <v>0</v>
      </c>
      <c r="O104" s="24">
        <f>O108</f>
        <v>0</v>
      </c>
      <c r="P104" s="24">
        <f>P108</f>
        <v>877200000</v>
      </c>
      <c r="Q104" s="24">
        <f>Q108</f>
        <v>0</v>
      </c>
      <c r="R104" s="26">
        <f t="shared" si="47"/>
        <v>0</v>
      </c>
      <c r="S104" s="24">
        <f>S108</f>
        <v>0</v>
      </c>
      <c r="T104" s="33">
        <f>T108</f>
        <v>0</v>
      </c>
    </row>
    <row r="105" spans="1:27" s="6" customFormat="1" ht="16.5" customHeight="1" x14ac:dyDescent="0.25">
      <c r="A105" s="90" t="s">
        <v>3</v>
      </c>
      <c r="B105" s="11" t="s">
        <v>72</v>
      </c>
      <c r="C105" s="11" t="s">
        <v>34</v>
      </c>
      <c r="D105" s="11"/>
      <c r="E105" s="11"/>
      <c r="F105" s="11"/>
      <c r="G105" s="12" t="s">
        <v>82</v>
      </c>
      <c r="H105" s="11" t="s">
        <v>5</v>
      </c>
      <c r="I105" s="11" t="s">
        <v>6</v>
      </c>
      <c r="J105" s="24">
        <f>J106+J107</f>
        <v>484300000</v>
      </c>
      <c r="K105" s="24">
        <f t="shared" ref="K105" si="49">K106+K107</f>
        <v>0</v>
      </c>
      <c r="L105" s="24">
        <f>L106+L107</f>
        <v>0</v>
      </c>
      <c r="M105" s="24">
        <f>M106+M107</f>
        <v>484300000</v>
      </c>
      <c r="N105" s="24">
        <f>N106+N107</f>
        <v>0</v>
      </c>
      <c r="O105" s="24">
        <f>O106+O107</f>
        <v>392247229</v>
      </c>
      <c r="P105" s="24">
        <f>M105-O105-N105</f>
        <v>92052771</v>
      </c>
      <c r="Q105" s="24">
        <f>Q106+Q107</f>
        <v>392247229</v>
      </c>
      <c r="R105" s="26">
        <f t="shared" si="47"/>
        <v>0.80992613875696884</v>
      </c>
      <c r="S105" s="24">
        <f>S106+S107</f>
        <v>392247229</v>
      </c>
      <c r="T105" s="33">
        <f>T106+T107</f>
        <v>392247229</v>
      </c>
    </row>
    <row r="106" spans="1:27" s="6" customFormat="1" ht="16.5" customHeight="1" x14ac:dyDescent="0.25">
      <c r="A106" s="90" t="s">
        <v>3</v>
      </c>
      <c r="B106" s="7" t="s">
        <v>72</v>
      </c>
      <c r="C106" s="7" t="s">
        <v>34</v>
      </c>
      <c r="D106" s="7" t="s">
        <v>50</v>
      </c>
      <c r="E106" s="7" t="s">
        <v>35</v>
      </c>
      <c r="F106" s="7"/>
      <c r="G106" s="23" t="s">
        <v>76</v>
      </c>
      <c r="H106" s="7" t="s">
        <v>5</v>
      </c>
      <c r="I106" s="7" t="s">
        <v>6</v>
      </c>
      <c r="J106" s="27">
        <v>472800000</v>
      </c>
      <c r="K106" s="27"/>
      <c r="L106" s="27"/>
      <c r="M106" s="27">
        <f t="shared" ref="M106:M107" si="50">J106+K106-L106</f>
        <v>472800000</v>
      </c>
      <c r="N106" s="9">
        <v>0</v>
      </c>
      <c r="O106" s="27">
        <v>383412229</v>
      </c>
      <c r="P106" s="27">
        <f>+M106-O106-N106</f>
        <v>89387771</v>
      </c>
      <c r="Q106" s="27">
        <v>383412229</v>
      </c>
      <c r="R106" s="26">
        <f t="shared" si="47"/>
        <v>0.81093957064297806</v>
      </c>
      <c r="S106" s="27">
        <v>383412229</v>
      </c>
      <c r="T106" s="51">
        <v>383412229</v>
      </c>
    </row>
    <row r="107" spans="1:27" s="47" customFormat="1" ht="16.5" customHeight="1" x14ac:dyDescent="0.25">
      <c r="A107" s="90" t="s">
        <v>3</v>
      </c>
      <c r="B107" s="7" t="s">
        <v>72</v>
      </c>
      <c r="C107" s="7" t="s">
        <v>34</v>
      </c>
      <c r="D107" s="7" t="s">
        <v>50</v>
      </c>
      <c r="E107" s="7" t="s">
        <v>43</v>
      </c>
      <c r="F107" s="7"/>
      <c r="G107" s="23" t="s">
        <v>77</v>
      </c>
      <c r="H107" s="7" t="s">
        <v>5</v>
      </c>
      <c r="I107" s="7" t="s">
        <v>6</v>
      </c>
      <c r="J107" s="27">
        <v>11500000</v>
      </c>
      <c r="K107" s="27"/>
      <c r="L107" s="27"/>
      <c r="M107" s="27">
        <f t="shared" si="50"/>
        <v>11500000</v>
      </c>
      <c r="N107" s="9">
        <v>0</v>
      </c>
      <c r="O107" s="27">
        <v>8835000</v>
      </c>
      <c r="P107" s="27">
        <f>+M107-O107-N107</f>
        <v>2665000</v>
      </c>
      <c r="Q107" s="27">
        <v>8835000</v>
      </c>
      <c r="R107" s="26">
        <f t="shared" si="47"/>
        <v>0.76826086956521744</v>
      </c>
      <c r="S107" s="27">
        <v>8835000</v>
      </c>
      <c r="T107" s="51">
        <v>8835000</v>
      </c>
    </row>
    <row r="108" spans="1:27" s="47" customFormat="1" ht="16.5" customHeight="1" x14ac:dyDescent="0.25">
      <c r="A108" s="90" t="s">
        <v>3</v>
      </c>
      <c r="B108" s="11" t="s">
        <v>72</v>
      </c>
      <c r="C108" s="11" t="s">
        <v>70</v>
      </c>
      <c r="D108" s="11"/>
      <c r="E108" s="11"/>
      <c r="F108" s="11"/>
      <c r="G108" s="12" t="s">
        <v>137</v>
      </c>
      <c r="H108" s="11" t="s">
        <v>5</v>
      </c>
      <c r="I108" s="11">
        <v>11</v>
      </c>
      <c r="J108" s="24">
        <f>J109</f>
        <v>877200000</v>
      </c>
      <c r="K108" s="24"/>
      <c r="L108" s="24"/>
      <c r="M108" s="24">
        <f>M109</f>
        <v>877200000</v>
      </c>
      <c r="N108" s="14">
        <f>N109</f>
        <v>0</v>
      </c>
      <c r="O108" s="24">
        <f t="shared" ref="O108:T109" si="51">O109</f>
        <v>0</v>
      </c>
      <c r="P108" s="24">
        <f>+M108-O108-N108</f>
        <v>877200000</v>
      </c>
      <c r="Q108" s="24">
        <f t="shared" si="51"/>
        <v>0</v>
      </c>
      <c r="R108" s="26">
        <f t="shared" si="47"/>
        <v>0</v>
      </c>
      <c r="S108" s="24">
        <f t="shared" si="51"/>
        <v>0</v>
      </c>
      <c r="T108" s="33">
        <f t="shared" si="51"/>
        <v>0</v>
      </c>
    </row>
    <row r="109" spans="1:27" s="6" customFormat="1" ht="16.5" customHeight="1" x14ac:dyDescent="0.25">
      <c r="A109" s="90" t="s">
        <v>3</v>
      </c>
      <c r="B109" s="11" t="s">
        <v>72</v>
      </c>
      <c r="C109" s="11" t="s">
        <v>70</v>
      </c>
      <c r="D109" s="71" t="s">
        <v>34</v>
      </c>
      <c r="E109" s="11"/>
      <c r="F109" s="11"/>
      <c r="G109" s="12" t="s">
        <v>83</v>
      </c>
      <c r="H109" s="11" t="s">
        <v>5</v>
      </c>
      <c r="I109" s="11">
        <v>11</v>
      </c>
      <c r="J109" s="24">
        <f>J110</f>
        <v>877200000</v>
      </c>
      <c r="K109" s="24">
        <f t="shared" ref="K109:L109" si="52">K110</f>
        <v>0</v>
      </c>
      <c r="L109" s="24">
        <f t="shared" si="52"/>
        <v>0</v>
      </c>
      <c r="M109" s="24">
        <f>M110</f>
        <v>877200000</v>
      </c>
      <c r="N109" s="14">
        <f>N110</f>
        <v>0</v>
      </c>
      <c r="O109" s="24">
        <f t="shared" si="51"/>
        <v>0</v>
      </c>
      <c r="P109" s="24">
        <f>+M109-O109-N109</f>
        <v>877200000</v>
      </c>
      <c r="Q109" s="24">
        <f t="shared" si="51"/>
        <v>0</v>
      </c>
      <c r="R109" s="26">
        <f t="shared" si="47"/>
        <v>0</v>
      </c>
      <c r="S109" s="24">
        <f t="shared" si="51"/>
        <v>0</v>
      </c>
      <c r="T109" s="33">
        <f t="shared" si="51"/>
        <v>0</v>
      </c>
    </row>
    <row r="110" spans="1:27" ht="18" customHeight="1" x14ac:dyDescent="0.25">
      <c r="A110" s="91" t="s">
        <v>3</v>
      </c>
      <c r="B110" s="7" t="s">
        <v>72</v>
      </c>
      <c r="C110" s="7" t="s">
        <v>70</v>
      </c>
      <c r="D110" s="7" t="s">
        <v>34</v>
      </c>
      <c r="E110" s="7"/>
      <c r="F110" s="7"/>
      <c r="G110" s="23" t="s">
        <v>83</v>
      </c>
      <c r="H110" s="7" t="s">
        <v>5</v>
      </c>
      <c r="I110" s="7">
        <v>11</v>
      </c>
      <c r="J110" s="27">
        <v>877200000</v>
      </c>
      <c r="K110" s="27">
        <v>0</v>
      </c>
      <c r="L110" s="27">
        <v>0</v>
      </c>
      <c r="M110" s="27">
        <f>J110+K110-L110</f>
        <v>877200000</v>
      </c>
      <c r="N110" s="9">
        <v>0</v>
      </c>
      <c r="O110" s="27"/>
      <c r="P110" s="27">
        <f>+M110-O110-N110</f>
        <v>877200000</v>
      </c>
      <c r="Q110" s="27"/>
      <c r="R110" s="25">
        <f t="shared" si="47"/>
        <v>0</v>
      </c>
      <c r="S110" s="27"/>
      <c r="T110" s="51"/>
    </row>
    <row r="111" spans="1:27" ht="26.25" customHeight="1" x14ac:dyDescent="0.25">
      <c r="A111" s="92" t="s">
        <v>3</v>
      </c>
      <c r="B111" s="81" t="s">
        <v>72</v>
      </c>
      <c r="C111" s="81"/>
      <c r="D111" s="81"/>
      <c r="E111" s="81"/>
      <c r="F111" s="81"/>
      <c r="G111" s="82" t="s">
        <v>100</v>
      </c>
      <c r="H111" s="81" t="s">
        <v>5</v>
      </c>
      <c r="I111" s="83" t="s">
        <v>6</v>
      </c>
      <c r="J111" s="64">
        <f>J103</f>
        <v>484300000</v>
      </c>
      <c r="K111" s="64">
        <f t="shared" ref="K111:L111" si="53">K103</f>
        <v>0</v>
      </c>
      <c r="L111" s="64">
        <f t="shared" si="53"/>
        <v>0</v>
      </c>
      <c r="M111" s="64">
        <f>M103</f>
        <v>484300000</v>
      </c>
      <c r="N111" s="64">
        <f>N105</f>
        <v>0</v>
      </c>
      <c r="O111" s="64">
        <f>O105</f>
        <v>392247229</v>
      </c>
      <c r="P111" s="64">
        <f>P105</f>
        <v>92052771</v>
      </c>
      <c r="Q111" s="64">
        <f>Q105</f>
        <v>392247229</v>
      </c>
      <c r="R111" s="76">
        <f t="shared" si="47"/>
        <v>0.80992613875696884</v>
      </c>
      <c r="S111" s="64">
        <f>S105</f>
        <v>392247229</v>
      </c>
      <c r="T111" s="73">
        <f>T105</f>
        <v>392247229</v>
      </c>
    </row>
    <row r="112" spans="1:27" ht="26.25" customHeight="1" x14ac:dyDescent="0.25">
      <c r="A112" s="92" t="s">
        <v>3</v>
      </c>
      <c r="B112" s="81" t="s">
        <v>72</v>
      </c>
      <c r="C112" s="81"/>
      <c r="D112" s="81"/>
      <c r="E112" s="81"/>
      <c r="F112" s="81"/>
      <c r="G112" s="82" t="s">
        <v>100</v>
      </c>
      <c r="H112" s="81" t="s">
        <v>5</v>
      </c>
      <c r="I112" s="83">
        <v>11</v>
      </c>
      <c r="J112" s="64">
        <f>J104</f>
        <v>877200000</v>
      </c>
      <c r="K112" s="64">
        <f t="shared" ref="K112:L112" si="54">K104</f>
        <v>0</v>
      </c>
      <c r="L112" s="64">
        <f t="shared" si="54"/>
        <v>0</v>
      </c>
      <c r="M112" s="64">
        <f>M104</f>
        <v>877200000</v>
      </c>
      <c r="N112" s="64">
        <f>N109</f>
        <v>0</v>
      </c>
      <c r="O112" s="64">
        <f>O104</f>
        <v>0</v>
      </c>
      <c r="P112" s="64">
        <f>P104</f>
        <v>877200000</v>
      </c>
      <c r="Q112" s="64">
        <f>Q104</f>
        <v>0</v>
      </c>
      <c r="R112" s="76">
        <f t="shared" si="47"/>
        <v>0</v>
      </c>
      <c r="S112" s="64">
        <f>S104</f>
        <v>0</v>
      </c>
      <c r="T112" s="73">
        <f>T104</f>
        <v>0</v>
      </c>
    </row>
    <row r="113" spans="1:21" ht="16.5" customHeight="1" x14ac:dyDescent="0.25">
      <c r="A113" s="132" t="s">
        <v>105</v>
      </c>
      <c r="B113" s="133"/>
      <c r="C113" s="133"/>
      <c r="D113" s="133"/>
      <c r="E113" s="133"/>
      <c r="F113" s="133"/>
      <c r="G113" s="133"/>
      <c r="H113" s="133"/>
      <c r="I113" s="134"/>
      <c r="J113" s="77">
        <f>J111+J112</f>
        <v>1361500000</v>
      </c>
      <c r="K113" s="77">
        <f t="shared" ref="K113:L113" si="55">K111+K112</f>
        <v>0</v>
      </c>
      <c r="L113" s="77">
        <f t="shared" si="55"/>
        <v>0</v>
      </c>
      <c r="M113" s="77">
        <f>M111+M112</f>
        <v>1361500000</v>
      </c>
      <c r="N113" s="77">
        <f>N111+N112</f>
        <v>0</v>
      </c>
      <c r="O113" s="77">
        <f>O111+O112</f>
        <v>392247229</v>
      </c>
      <c r="P113" s="77">
        <f>P111+P112</f>
        <v>969252771</v>
      </c>
      <c r="Q113" s="77">
        <f>Q111+Q112</f>
        <v>392247229</v>
      </c>
      <c r="R113" s="76">
        <f t="shared" si="47"/>
        <v>0.288099323540213</v>
      </c>
      <c r="S113" s="77">
        <f>S111+S112</f>
        <v>392247229</v>
      </c>
      <c r="T113" s="78">
        <f>T111+T112</f>
        <v>392247229</v>
      </c>
    </row>
    <row r="114" spans="1:21" ht="16.5" customHeight="1" x14ac:dyDescent="0.25">
      <c r="A114" s="93" t="s">
        <v>3</v>
      </c>
      <c r="B114" s="84"/>
      <c r="C114" s="84"/>
      <c r="D114" s="84"/>
      <c r="E114" s="84"/>
      <c r="F114" s="84"/>
      <c r="G114" s="85" t="s">
        <v>4</v>
      </c>
      <c r="H114" s="84" t="s">
        <v>5</v>
      </c>
      <c r="I114" s="86">
        <v>10</v>
      </c>
      <c r="J114" s="72">
        <f t="shared" ref="J114:Q114" si="56">+J111+J85+J33+J100</f>
        <v>387240600000</v>
      </c>
      <c r="K114" s="72">
        <f t="shared" si="56"/>
        <v>1561999792.8899999</v>
      </c>
      <c r="L114" s="72">
        <f t="shared" si="56"/>
        <v>1561999792.8899999</v>
      </c>
      <c r="M114" s="72">
        <f t="shared" si="56"/>
        <v>387240600000</v>
      </c>
      <c r="N114" s="72">
        <f t="shared" si="56"/>
        <v>29515700000</v>
      </c>
      <c r="O114" s="72">
        <f t="shared" si="56"/>
        <v>119638593720.28</v>
      </c>
      <c r="P114" s="72">
        <f t="shared" si="56"/>
        <v>238086306279.72</v>
      </c>
      <c r="Q114" s="72">
        <f t="shared" si="56"/>
        <v>116942121699.03</v>
      </c>
      <c r="R114" s="74">
        <f t="shared" si="47"/>
        <v>0.30198827731139244</v>
      </c>
      <c r="S114" s="72">
        <f>+S111+S85+S33+S100</f>
        <v>93288234199</v>
      </c>
      <c r="T114" s="75">
        <f>+T111+T85+T33+T100</f>
        <v>93015947874</v>
      </c>
    </row>
    <row r="115" spans="1:21" ht="16.5" customHeight="1" x14ac:dyDescent="0.25">
      <c r="A115" s="93" t="s">
        <v>3</v>
      </c>
      <c r="B115" s="84"/>
      <c r="C115" s="84"/>
      <c r="D115" s="84"/>
      <c r="E115" s="84"/>
      <c r="F115" s="84"/>
      <c r="G115" s="85" t="s">
        <v>4</v>
      </c>
      <c r="H115" s="84" t="s">
        <v>5</v>
      </c>
      <c r="I115" s="86">
        <v>11</v>
      </c>
      <c r="J115" s="72">
        <f>J112</f>
        <v>877200000</v>
      </c>
      <c r="K115" s="72">
        <f t="shared" ref="K115:L115" si="57">K112</f>
        <v>0</v>
      </c>
      <c r="L115" s="72">
        <f t="shared" si="57"/>
        <v>0</v>
      </c>
      <c r="M115" s="72">
        <f>M112</f>
        <v>877200000</v>
      </c>
      <c r="N115" s="72">
        <f>N112</f>
        <v>0</v>
      </c>
      <c r="O115" s="72">
        <f>O112</f>
        <v>0</v>
      </c>
      <c r="P115" s="72">
        <f>P112</f>
        <v>877200000</v>
      </c>
      <c r="Q115" s="72">
        <f>Q112</f>
        <v>0</v>
      </c>
      <c r="R115" s="74">
        <f t="shared" si="47"/>
        <v>0</v>
      </c>
      <c r="S115" s="72">
        <f>S112</f>
        <v>0</v>
      </c>
      <c r="T115" s="75">
        <f>T112</f>
        <v>0</v>
      </c>
    </row>
    <row r="116" spans="1:21" ht="16.5" customHeight="1" x14ac:dyDescent="0.25">
      <c r="A116" s="93" t="s">
        <v>3</v>
      </c>
      <c r="B116" s="84"/>
      <c r="C116" s="84"/>
      <c r="D116" s="84"/>
      <c r="E116" s="84"/>
      <c r="F116" s="84"/>
      <c r="G116" s="85" t="s">
        <v>4</v>
      </c>
      <c r="H116" s="84" t="s">
        <v>8</v>
      </c>
      <c r="I116" s="86">
        <v>20</v>
      </c>
      <c r="J116" s="72">
        <f t="shared" ref="J116:Q117" si="58">J86</f>
        <v>950000000</v>
      </c>
      <c r="K116" s="72">
        <f t="shared" si="58"/>
        <v>0</v>
      </c>
      <c r="L116" s="72">
        <f t="shared" si="58"/>
        <v>0</v>
      </c>
      <c r="M116" s="72">
        <f t="shared" si="58"/>
        <v>950000000</v>
      </c>
      <c r="N116" s="72">
        <f t="shared" si="58"/>
        <v>0</v>
      </c>
      <c r="O116" s="72">
        <f t="shared" si="58"/>
        <v>0</v>
      </c>
      <c r="P116" s="72">
        <f t="shared" si="58"/>
        <v>950000000</v>
      </c>
      <c r="Q116" s="72">
        <f t="shared" si="58"/>
        <v>0</v>
      </c>
      <c r="R116" s="74">
        <f t="shared" si="47"/>
        <v>0</v>
      </c>
      <c r="S116" s="72">
        <f>S86</f>
        <v>0</v>
      </c>
      <c r="T116" s="75">
        <f>T86</f>
        <v>0</v>
      </c>
    </row>
    <row r="117" spans="1:21" s="5" customFormat="1" ht="15" customHeight="1" x14ac:dyDescent="0.2">
      <c r="A117" s="93" t="s">
        <v>3</v>
      </c>
      <c r="B117" s="84"/>
      <c r="C117" s="84"/>
      <c r="D117" s="84"/>
      <c r="E117" s="84"/>
      <c r="F117" s="84"/>
      <c r="G117" s="85" t="s">
        <v>4</v>
      </c>
      <c r="H117" s="84" t="s">
        <v>8</v>
      </c>
      <c r="I117" s="86">
        <v>21</v>
      </c>
      <c r="J117" s="72">
        <f t="shared" si="58"/>
        <v>475113000</v>
      </c>
      <c r="K117" s="72">
        <f t="shared" si="58"/>
        <v>0</v>
      </c>
      <c r="L117" s="72">
        <f t="shared" si="58"/>
        <v>0</v>
      </c>
      <c r="M117" s="72">
        <f t="shared" si="58"/>
        <v>475113000</v>
      </c>
      <c r="N117" s="72">
        <f t="shared" si="58"/>
        <v>0</v>
      </c>
      <c r="O117" s="72">
        <f t="shared" si="58"/>
        <v>0</v>
      </c>
      <c r="P117" s="72">
        <f t="shared" si="58"/>
        <v>475113000</v>
      </c>
      <c r="Q117" s="72">
        <f t="shared" si="58"/>
        <v>0</v>
      </c>
      <c r="R117" s="74">
        <f t="shared" si="47"/>
        <v>0</v>
      </c>
      <c r="S117" s="72">
        <f>S87</f>
        <v>0</v>
      </c>
      <c r="T117" s="75">
        <f>T87</f>
        <v>0</v>
      </c>
      <c r="U117" s="46"/>
    </row>
    <row r="118" spans="1:21" ht="15.75" customHeight="1" thickBot="1" x14ac:dyDescent="0.3">
      <c r="A118" s="135" t="s">
        <v>28</v>
      </c>
      <c r="B118" s="136"/>
      <c r="C118" s="136"/>
      <c r="D118" s="136"/>
      <c r="E118" s="136"/>
      <c r="F118" s="136"/>
      <c r="G118" s="136"/>
      <c r="H118" s="136"/>
      <c r="I118" s="137"/>
      <c r="J118" s="41">
        <f>SUM(J114:J117)</f>
        <v>389542913000</v>
      </c>
      <c r="K118" s="41">
        <f t="shared" ref="K118:L118" si="59">SUM(K114:K117)</f>
        <v>1561999792.8899999</v>
      </c>
      <c r="L118" s="41">
        <f t="shared" si="59"/>
        <v>1561999792.8899999</v>
      </c>
      <c r="M118" s="41">
        <f>SUM(M114:M117)</f>
        <v>389542913000</v>
      </c>
      <c r="N118" s="41">
        <f>SUM(N114:N117)</f>
        <v>29515700000</v>
      </c>
      <c r="O118" s="41">
        <f>SUM(O114:O117)</f>
        <v>119638593720.28</v>
      </c>
      <c r="P118" s="41">
        <f>SUM(P114:P117)</f>
        <v>240388619279.72</v>
      </c>
      <c r="Q118" s="41">
        <f>SUM(Q114:Q117)</f>
        <v>116942121699.03</v>
      </c>
      <c r="R118" s="43">
        <f>IF(Q118&gt;1,Q118/(M118),0)</f>
        <v>0.30020343791758314</v>
      </c>
      <c r="S118" s="41">
        <f>SUM(S114:S117)</f>
        <v>93288234199</v>
      </c>
      <c r="T118" s="52">
        <f>SUM(T114:T117)</f>
        <v>93015947874</v>
      </c>
    </row>
    <row r="119" spans="1:21" s="6" customFormat="1" ht="18.75" customHeight="1" thickBot="1" x14ac:dyDescent="0.3">
      <c r="A119" s="126" t="s">
        <v>31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8"/>
    </row>
    <row r="120" spans="1:21" s="6" customFormat="1" ht="24.75" customHeight="1" x14ac:dyDescent="0.25">
      <c r="A120" s="90" t="s">
        <v>18</v>
      </c>
      <c r="B120" s="11">
        <v>2901</v>
      </c>
      <c r="C120" s="11"/>
      <c r="D120" s="11"/>
      <c r="E120" s="11"/>
      <c r="F120" s="11"/>
      <c r="G120" s="12" t="s">
        <v>99</v>
      </c>
      <c r="H120" s="11" t="s">
        <v>5</v>
      </c>
      <c r="I120" s="13">
        <v>10</v>
      </c>
      <c r="J120" s="24">
        <f>J122+J124+J126+J130+J134+J143+J147+J138</f>
        <v>60058296000</v>
      </c>
      <c r="K120" s="24">
        <f t="shared" ref="K120:Q120" si="60">K122+K124+K126+K130+K134+K143+K147+K138</f>
        <v>0</v>
      </c>
      <c r="L120" s="24">
        <f t="shared" si="60"/>
        <v>0</v>
      </c>
      <c r="M120" s="24">
        <f t="shared" si="60"/>
        <v>60058296000</v>
      </c>
      <c r="N120" s="14">
        <f t="shared" si="60"/>
        <v>0</v>
      </c>
      <c r="O120" s="88">
        <f t="shared" si="60"/>
        <v>28583470438.43</v>
      </c>
      <c r="P120" s="24">
        <f t="shared" si="60"/>
        <v>31474825561.57</v>
      </c>
      <c r="Q120" s="14">
        <f t="shared" si="60"/>
        <v>21706852188.43</v>
      </c>
      <c r="R120" s="26">
        <f t="shared" ref="R120:R178" si="61">IF(Q120&gt;1,Q120/(M120),0)</f>
        <v>0.36142970470607427</v>
      </c>
      <c r="S120" s="14">
        <f t="shared" ref="S120" si="62">S122+S124+S126+S130+S134+S143+S147+S138</f>
        <v>304927655.43000001</v>
      </c>
      <c r="T120" s="22">
        <f>T122+T124+T126+T130+T134+T143+T147+T138</f>
        <v>277649556.43000001</v>
      </c>
    </row>
    <row r="121" spans="1:21" ht="33" customHeight="1" x14ac:dyDescent="0.25">
      <c r="A121" s="90" t="s">
        <v>18</v>
      </c>
      <c r="B121" s="11">
        <v>2901</v>
      </c>
      <c r="C121" s="11"/>
      <c r="D121" s="11"/>
      <c r="E121" s="11"/>
      <c r="F121" s="11"/>
      <c r="G121" s="12" t="s">
        <v>99</v>
      </c>
      <c r="H121" s="11" t="s">
        <v>8</v>
      </c>
      <c r="I121" s="13">
        <v>21</v>
      </c>
      <c r="J121" s="14">
        <f>J131+J139</f>
        <v>1194647000</v>
      </c>
      <c r="K121" s="14">
        <f t="shared" ref="K121:Q121" si="63">K131+K139</f>
        <v>0</v>
      </c>
      <c r="L121" s="24">
        <f t="shared" si="63"/>
        <v>0</v>
      </c>
      <c r="M121" s="24">
        <f t="shared" si="63"/>
        <v>1194647000</v>
      </c>
      <c r="N121" s="14">
        <f t="shared" si="63"/>
        <v>0</v>
      </c>
      <c r="O121" s="14">
        <f t="shared" si="63"/>
        <v>1194647000</v>
      </c>
      <c r="P121" s="24">
        <f t="shared" si="63"/>
        <v>0</v>
      </c>
      <c r="Q121" s="14">
        <f t="shared" si="63"/>
        <v>1194647000</v>
      </c>
      <c r="R121" s="26">
        <f t="shared" si="61"/>
        <v>1</v>
      </c>
      <c r="S121" s="14">
        <f>S131+S139</f>
        <v>0</v>
      </c>
      <c r="T121" s="22">
        <f>T131+T139</f>
        <v>0</v>
      </c>
    </row>
    <row r="122" spans="1:21" ht="33" customHeight="1" x14ac:dyDescent="0.25">
      <c r="A122" s="95" t="s">
        <v>18</v>
      </c>
      <c r="B122" s="98" t="s">
        <v>89</v>
      </c>
      <c r="C122" s="98" t="s">
        <v>90</v>
      </c>
      <c r="D122" s="98" t="s">
        <v>91</v>
      </c>
      <c r="E122" s="11"/>
      <c r="F122" s="11"/>
      <c r="G122" s="12" t="s">
        <v>195</v>
      </c>
      <c r="H122" s="98" t="s">
        <v>5</v>
      </c>
      <c r="I122" s="99">
        <v>10</v>
      </c>
      <c r="J122" s="14">
        <f>J123</f>
        <v>11474400000</v>
      </c>
      <c r="K122" s="14">
        <f t="shared" ref="K122:N122" si="64">K123</f>
        <v>0</v>
      </c>
      <c r="L122" s="24">
        <f t="shared" si="64"/>
        <v>0</v>
      </c>
      <c r="M122" s="24">
        <f>M123</f>
        <v>11474400000</v>
      </c>
      <c r="N122" s="14">
        <f t="shared" si="64"/>
        <v>0</v>
      </c>
      <c r="O122" s="14">
        <f>O123</f>
        <v>8213119128.4700003</v>
      </c>
      <c r="P122" s="24">
        <f>P123</f>
        <v>3261280871.5299997</v>
      </c>
      <c r="Q122" s="14">
        <f>Q123</f>
        <v>5423862153.4700003</v>
      </c>
      <c r="R122" s="26">
        <f t="shared" si="61"/>
        <v>0.47269244173725861</v>
      </c>
      <c r="S122" s="14">
        <f>S123</f>
        <v>239591405.47</v>
      </c>
      <c r="T122" s="22">
        <f>T123</f>
        <v>239591405.47</v>
      </c>
    </row>
    <row r="123" spans="1:21" ht="50.25" customHeight="1" x14ac:dyDescent="0.25">
      <c r="A123" s="94" t="s">
        <v>18</v>
      </c>
      <c r="B123" s="56" t="s">
        <v>89</v>
      </c>
      <c r="C123" s="56" t="s">
        <v>90</v>
      </c>
      <c r="D123" s="56" t="s">
        <v>91</v>
      </c>
      <c r="E123" s="56" t="s">
        <v>218</v>
      </c>
      <c r="F123" s="56" t="s">
        <v>150</v>
      </c>
      <c r="G123" s="23" t="s">
        <v>168</v>
      </c>
      <c r="H123" s="56" t="s">
        <v>5</v>
      </c>
      <c r="I123" s="57">
        <v>10</v>
      </c>
      <c r="J123" s="44">
        <v>11474400000</v>
      </c>
      <c r="K123" s="44">
        <v>0</v>
      </c>
      <c r="L123" s="44"/>
      <c r="M123" s="44">
        <f>J123+K123-L123</f>
        <v>11474400000</v>
      </c>
      <c r="N123" s="44">
        <v>0</v>
      </c>
      <c r="O123" s="44">
        <v>8213119128.4700003</v>
      </c>
      <c r="P123" s="44">
        <f t="shared" ref="P123:P148" si="65">+M123-O123-N123</f>
        <v>3261280871.5299997</v>
      </c>
      <c r="Q123" s="58">
        <v>5423862153.4700003</v>
      </c>
      <c r="R123" s="25">
        <f t="shared" si="61"/>
        <v>0.47269244173725861</v>
      </c>
      <c r="S123" s="58">
        <v>239591405.47</v>
      </c>
      <c r="T123" s="59">
        <v>239591405.47</v>
      </c>
    </row>
    <row r="124" spans="1:21" ht="50.25" customHeight="1" x14ac:dyDescent="0.25">
      <c r="A124" s="95" t="s">
        <v>18</v>
      </c>
      <c r="B124" s="98" t="s">
        <v>89</v>
      </c>
      <c r="C124" s="98" t="s">
        <v>90</v>
      </c>
      <c r="D124" s="98" t="s">
        <v>6</v>
      </c>
      <c r="E124" s="98"/>
      <c r="F124" s="98"/>
      <c r="G124" s="12" t="s">
        <v>196</v>
      </c>
      <c r="H124" s="98" t="s">
        <v>5</v>
      </c>
      <c r="I124" s="99">
        <v>10</v>
      </c>
      <c r="J124" s="48">
        <f>J125</f>
        <v>300000000</v>
      </c>
      <c r="K124" s="48">
        <f t="shared" ref="K124:L124" si="66">K125</f>
        <v>0</v>
      </c>
      <c r="L124" s="48">
        <f t="shared" si="66"/>
        <v>0</v>
      </c>
      <c r="M124" s="48">
        <f>M125</f>
        <v>300000000</v>
      </c>
      <c r="N124" s="48">
        <f t="shared" ref="N124:T124" si="67">N125</f>
        <v>0</v>
      </c>
      <c r="O124" s="48">
        <f>O125</f>
        <v>186424724</v>
      </c>
      <c r="P124" s="48">
        <f>P125</f>
        <v>113575276</v>
      </c>
      <c r="Q124" s="100">
        <f t="shared" si="67"/>
        <v>125304230</v>
      </c>
      <c r="R124" s="26">
        <f t="shared" si="61"/>
        <v>0.41768076666666665</v>
      </c>
      <c r="S124" s="100">
        <f t="shared" si="67"/>
        <v>0</v>
      </c>
      <c r="T124" s="101">
        <f t="shared" si="67"/>
        <v>0</v>
      </c>
    </row>
    <row r="125" spans="1:21" ht="46.5" customHeight="1" x14ac:dyDescent="0.25">
      <c r="A125" s="94" t="s">
        <v>18</v>
      </c>
      <c r="B125" s="56" t="s">
        <v>89</v>
      </c>
      <c r="C125" s="56" t="s">
        <v>90</v>
      </c>
      <c r="D125" s="56" t="s">
        <v>6</v>
      </c>
      <c r="E125" s="56" t="s">
        <v>218</v>
      </c>
      <c r="F125" s="56" t="s">
        <v>151</v>
      </c>
      <c r="G125" s="23" t="s">
        <v>169</v>
      </c>
      <c r="H125" s="56" t="s">
        <v>5</v>
      </c>
      <c r="I125" s="57">
        <v>10</v>
      </c>
      <c r="J125" s="58">
        <v>300000000</v>
      </c>
      <c r="K125" s="44">
        <v>0</v>
      </c>
      <c r="L125" s="44"/>
      <c r="M125" s="44">
        <f t="shared" ref="M125:M151" si="68">J125+K125-L125</f>
        <v>300000000</v>
      </c>
      <c r="N125" s="113">
        <v>0</v>
      </c>
      <c r="O125" s="44">
        <v>186424724</v>
      </c>
      <c r="P125" s="44">
        <f t="shared" si="65"/>
        <v>113575276</v>
      </c>
      <c r="Q125" s="58">
        <v>125304230</v>
      </c>
      <c r="R125" s="25">
        <f t="shared" si="61"/>
        <v>0.41768076666666665</v>
      </c>
      <c r="S125" s="58">
        <v>0</v>
      </c>
      <c r="T125" s="59">
        <v>0</v>
      </c>
    </row>
    <row r="126" spans="1:21" s="102" customFormat="1" ht="51.75" customHeight="1" x14ac:dyDescent="0.25">
      <c r="A126" s="95" t="s">
        <v>18</v>
      </c>
      <c r="B126" s="98" t="s">
        <v>89</v>
      </c>
      <c r="C126" s="98" t="s">
        <v>90</v>
      </c>
      <c r="D126" s="98" t="s">
        <v>7</v>
      </c>
      <c r="E126" s="98"/>
      <c r="F126" s="98"/>
      <c r="G126" s="12" t="s">
        <v>211</v>
      </c>
      <c r="H126" s="98" t="s">
        <v>5</v>
      </c>
      <c r="I126" s="99">
        <v>10</v>
      </c>
      <c r="J126" s="100">
        <f>J127+J128+J129</f>
        <v>4994096000</v>
      </c>
      <c r="K126" s="48">
        <f t="shared" ref="K126:N126" si="69">K127+K128+K129</f>
        <v>0</v>
      </c>
      <c r="L126" s="48">
        <f t="shared" si="69"/>
        <v>0</v>
      </c>
      <c r="M126" s="48">
        <f>M127+M128+M129</f>
        <v>4994096000</v>
      </c>
      <c r="N126" s="48">
        <f t="shared" si="69"/>
        <v>0</v>
      </c>
      <c r="O126" s="48">
        <f>O127+O128+O129</f>
        <v>2565176729</v>
      </c>
      <c r="P126" s="48">
        <f>P127+P128+P129</f>
        <v>2428919271</v>
      </c>
      <c r="Q126" s="48">
        <f>Q127+Q128+Q129</f>
        <v>2088504719</v>
      </c>
      <c r="R126" s="26">
        <f t="shared" si="61"/>
        <v>0.41819474815862573</v>
      </c>
      <c r="S126" s="100">
        <f>S127+S128+S129</f>
        <v>38979916</v>
      </c>
      <c r="T126" s="101">
        <f>T127+T128+T129</f>
        <v>29757092</v>
      </c>
    </row>
    <row r="127" spans="1:21" ht="65.25" customHeight="1" x14ac:dyDescent="0.25">
      <c r="A127" s="94" t="s">
        <v>18</v>
      </c>
      <c r="B127" s="56" t="s">
        <v>89</v>
      </c>
      <c r="C127" s="56" t="s">
        <v>90</v>
      </c>
      <c r="D127" s="56" t="s">
        <v>7</v>
      </c>
      <c r="E127" s="56" t="s">
        <v>219</v>
      </c>
      <c r="F127" s="56" t="s">
        <v>152</v>
      </c>
      <c r="G127" s="23" t="s">
        <v>170</v>
      </c>
      <c r="H127" s="56" t="s">
        <v>5</v>
      </c>
      <c r="I127" s="57">
        <v>10</v>
      </c>
      <c r="J127" s="44">
        <v>1818315235</v>
      </c>
      <c r="K127" s="44">
        <v>0</v>
      </c>
      <c r="L127" s="44"/>
      <c r="M127" s="44">
        <f t="shared" si="68"/>
        <v>1818315235</v>
      </c>
      <c r="N127" s="44">
        <v>0</v>
      </c>
      <c r="O127" s="44">
        <v>371522166</v>
      </c>
      <c r="P127" s="44">
        <f t="shared" si="65"/>
        <v>1446793069</v>
      </c>
      <c r="Q127" s="58">
        <v>0</v>
      </c>
      <c r="R127" s="25">
        <f t="shared" si="61"/>
        <v>0</v>
      </c>
      <c r="S127" s="58">
        <v>0</v>
      </c>
      <c r="T127" s="59">
        <v>0</v>
      </c>
    </row>
    <row r="128" spans="1:21" ht="76.5" customHeight="1" x14ac:dyDescent="0.25">
      <c r="A128" s="94" t="s">
        <v>18</v>
      </c>
      <c r="B128" s="56" t="s">
        <v>89</v>
      </c>
      <c r="C128" s="56" t="s">
        <v>90</v>
      </c>
      <c r="D128" s="56" t="s">
        <v>7</v>
      </c>
      <c r="E128" s="56" t="s">
        <v>219</v>
      </c>
      <c r="F128" s="56" t="s">
        <v>153</v>
      </c>
      <c r="G128" s="23" t="s">
        <v>171</v>
      </c>
      <c r="H128" s="56" t="s">
        <v>5</v>
      </c>
      <c r="I128" s="57">
        <v>10</v>
      </c>
      <c r="J128" s="44">
        <v>2064577180</v>
      </c>
      <c r="K128" s="44"/>
      <c r="L128" s="44">
        <v>0</v>
      </c>
      <c r="M128" s="44">
        <f t="shared" si="68"/>
        <v>2064577180</v>
      </c>
      <c r="N128" s="44">
        <v>0</v>
      </c>
      <c r="O128" s="44">
        <v>2039335534</v>
      </c>
      <c r="P128" s="44">
        <f t="shared" ref="P128:P129" si="70">+M128-O128-N128</f>
        <v>25241646</v>
      </c>
      <c r="Q128" s="58">
        <v>2001514792</v>
      </c>
      <c r="R128" s="25">
        <f t="shared" si="61"/>
        <v>0.96945505907412965</v>
      </c>
      <c r="S128" s="58">
        <v>38979916</v>
      </c>
      <c r="T128" s="59">
        <v>29757092</v>
      </c>
    </row>
    <row r="129" spans="1:20" ht="63.75" customHeight="1" x14ac:dyDescent="0.25">
      <c r="A129" s="94" t="s">
        <v>18</v>
      </c>
      <c r="B129" s="56" t="s">
        <v>89</v>
      </c>
      <c r="C129" s="56" t="s">
        <v>90</v>
      </c>
      <c r="D129" s="56" t="s">
        <v>7</v>
      </c>
      <c r="E129" s="56" t="s">
        <v>219</v>
      </c>
      <c r="F129" s="56" t="s">
        <v>154</v>
      </c>
      <c r="G129" s="23" t="s">
        <v>172</v>
      </c>
      <c r="H129" s="56" t="s">
        <v>5</v>
      </c>
      <c r="I129" s="57">
        <v>10</v>
      </c>
      <c r="J129" s="44">
        <v>1111203585</v>
      </c>
      <c r="K129" s="44">
        <v>0</v>
      </c>
      <c r="L129" s="44">
        <v>0</v>
      </c>
      <c r="M129" s="44">
        <f t="shared" si="68"/>
        <v>1111203585</v>
      </c>
      <c r="N129" s="44">
        <v>0</v>
      </c>
      <c r="O129" s="44">
        <v>154319029</v>
      </c>
      <c r="P129" s="44">
        <f t="shared" si="70"/>
        <v>956884556</v>
      </c>
      <c r="Q129" s="58">
        <v>86989927</v>
      </c>
      <c r="R129" s="25">
        <f t="shared" si="61"/>
        <v>7.8284418961805269E-2</v>
      </c>
      <c r="S129" s="58">
        <v>0</v>
      </c>
      <c r="T129" s="59">
        <v>0</v>
      </c>
    </row>
    <row r="130" spans="1:20" ht="49.5" customHeight="1" x14ac:dyDescent="0.25">
      <c r="A130" s="95" t="s">
        <v>18</v>
      </c>
      <c r="B130" s="98" t="s">
        <v>89</v>
      </c>
      <c r="C130" s="98" t="s">
        <v>90</v>
      </c>
      <c r="D130" s="98" t="s">
        <v>92</v>
      </c>
      <c r="E130" s="98"/>
      <c r="F130" s="98"/>
      <c r="G130" s="12" t="s">
        <v>197</v>
      </c>
      <c r="H130" s="98" t="s">
        <v>5</v>
      </c>
      <c r="I130" s="99">
        <v>10</v>
      </c>
      <c r="J130" s="48">
        <f>J132</f>
        <v>4917600000</v>
      </c>
      <c r="K130" s="48">
        <f t="shared" ref="K130:T130" si="71">K132</f>
        <v>0</v>
      </c>
      <c r="L130" s="48">
        <f t="shared" si="71"/>
        <v>0</v>
      </c>
      <c r="M130" s="48">
        <f>M132</f>
        <v>4917600000</v>
      </c>
      <c r="N130" s="48">
        <f t="shared" si="71"/>
        <v>0</v>
      </c>
      <c r="O130" s="48">
        <f t="shared" si="71"/>
        <v>4069908875</v>
      </c>
      <c r="P130" s="48">
        <f>P132</f>
        <v>847691125</v>
      </c>
      <c r="Q130" s="48">
        <f t="shared" si="71"/>
        <v>4069908875</v>
      </c>
      <c r="R130" s="26">
        <f t="shared" si="61"/>
        <v>0.82762096856190015</v>
      </c>
      <c r="S130" s="100">
        <f t="shared" si="71"/>
        <v>18055275</v>
      </c>
      <c r="T130" s="101">
        <f t="shared" si="71"/>
        <v>0</v>
      </c>
    </row>
    <row r="131" spans="1:20" ht="49.5" customHeight="1" x14ac:dyDescent="0.25">
      <c r="A131" s="95" t="s">
        <v>18</v>
      </c>
      <c r="B131" s="98" t="s">
        <v>89</v>
      </c>
      <c r="C131" s="98" t="s">
        <v>90</v>
      </c>
      <c r="D131" s="98" t="s">
        <v>92</v>
      </c>
      <c r="E131" s="98"/>
      <c r="F131" s="98"/>
      <c r="G131" s="12" t="s">
        <v>197</v>
      </c>
      <c r="H131" s="98" t="s">
        <v>8</v>
      </c>
      <c r="I131" s="99">
        <v>21</v>
      </c>
      <c r="J131" s="48">
        <f>J133</f>
        <v>2880000</v>
      </c>
      <c r="K131" s="48">
        <f t="shared" ref="K131:T131" si="72">K133</f>
        <v>0</v>
      </c>
      <c r="L131" s="48">
        <f t="shared" si="72"/>
        <v>0</v>
      </c>
      <c r="M131" s="48">
        <f t="shared" si="72"/>
        <v>2880000</v>
      </c>
      <c r="N131" s="48">
        <f t="shared" si="72"/>
        <v>0</v>
      </c>
      <c r="O131" s="48">
        <f t="shared" si="72"/>
        <v>2880000</v>
      </c>
      <c r="P131" s="48">
        <f>P133</f>
        <v>0</v>
      </c>
      <c r="Q131" s="100">
        <f t="shared" si="72"/>
        <v>2880000</v>
      </c>
      <c r="R131" s="26">
        <f t="shared" si="61"/>
        <v>1</v>
      </c>
      <c r="S131" s="100">
        <f t="shared" si="72"/>
        <v>0</v>
      </c>
      <c r="T131" s="101">
        <f t="shared" si="72"/>
        <v>0</v>
      </c>
    </row>
    <row r="132" spans="1:20" ht="33.75" customHeight="1" x14ac:dyDescent="0.25">
      <c r="A132" s="94" t="s">
        <v>18</v>
      </c>
      <c r="B132" s="56" t="s">
        <v>89</v>
      </c>
      <c r="C132" s="56" t="s">
        <v>90</v>
      </c>
      <c r="D132" s="56" t="s">
        <v>92</v>
      </c>
      <c r="E132" s="56" t="s">
        <v>144</v>
      </c>
      <c r="F132" s="56" t="s">
        <v>148</v>
      </c>
      <c r="G132" s="23" t="s">
        <v>173</v>
      </c>
      <c r="H132" s="56" t="s">
        <v>5</v>
      </c>
      <c r="I132" s="57">
        <v>10</v>
      </c>
      <c r="J132" s="58">
        <v>4917600000</v>
      </c>
      <c r="K132" s="58">
        <v>0</v>
      </c>
      <c r="L132" s="44">
        <v>0</v>
      </c>
      <c r="M132" s="44">
        <f t="shared" si="68"/>
        <v>4917600000</v>
      </c>
      <c r="N132" s="44">
        <v>0</v>
      </c>
      <c r="O132" s="44">
        <v>4069908875</v>
      </c>
      <c r="P132" s="44">
        <f t="shared" si="65"/>
        <v>847691125</v>
      </c>
      <c r="Q132" s="58">
        <v>4069908875</v>
      </c>
      <c r="R132" s="25">
        <f t="shared" si="61"/>
        <v>0.82762096856190015</v>
      </c>
      <c r="S132" s="58">
        <v>18055275</v>
      </c>
      <c r="T132" s="59"/>
    </row>
    <row r="133" spans="1:20" ht="41.25" customHeight="1" x14ac:dyDescent="0.25">
      <c r="A133" s="94" t="s">
        <v>18</v>
      </c>
      <c r="B133" s="56" t="s">
        <v>89</v>
      </c>
      <c r="C133" s="56" t="s">
        <v>90</v>
      </c>
      <c r="D133" s="56" t="s">
        <v>92</v>
      </c>
      <c r="E133" s="56" t="s">
        <v>144</v>
      </c>
      <c r="F133" s="56" t="s">
        <v>149</v>
      </c>
      <c r="G133" s="23" t="s">
        <v>174</v>
      </c>
      <c r="H133" s="56" t="s">
        <v>8</v>
      </c>
      <c r="I133" s="57">
        <v>21</v>
      </c>
      <c r="J133" s="58">
        <v>2880000</v>
      </c>
      <c r="K133" s="58">
        <v>0</v>
      </c>
      <c r="L133" s="44">
        <v>0</v>
      </c>
      <c r="M133" s="44">
        <f t="shared" si="68"/>
        <v>2880000</v>
      </c>
      <c r="N133" s="44">
        <v>0</v>
      </c>
      <c r="O133" s="44">
        <v>2880000</v>
      </c>
      <c r="P133" s="44">
        <f t="shared" si="65"/>
        <v>0</v>
      </c>
      <c r="Q133" s="58">
        <v>2880000</v>
      </c>
      <c r="R133" s="25">
        <f t="shared" si="61"/>
        <v>1</v>
      </c>
      <c r="S133" s="58">
        <v>0</v>
      </c>
      <c r="T133" s="59"/>
    </row>
    <row r="134" spans="1:20" ht="51.75" customHeight="1" x14ac:dyDescent="0.25">
      <c r="A134" s="95" t="s">
        <v>18</v>
      </c>
      <c r="B134" s="98" t="s">
        <v>89</v>
      </c>
      <c r="C134" s="98" t="s">
        <v>90</v>
      </c>
      <c r="D134" s="98" t="s">
        <v>93</v>
      </c>
      <c r="E134" s="98"/>
      <c r="F134" s="98"/>
      <c r="G134" s="12" t="s">
        <v>198</v>
      </c>
      <c r="H134" s="98" t="s">
        <v>5</v>
      </c>
      <c r="I134" s="99">
        <v>10</v>
      </c>
      <c r="J134" s="100">
        <f>J135+J136+J137</f>
        <v>4764608000</v>
      </c>
      <c r="K134" s="100">
        <f>K135+K136+K137</f>
        <v>0</v>
      </c>
      <c r="L134" s="48">
        <f>L135+L136+L137</f>
        <v>0</v>
      </c>
      <c r="M134" s="48">
        <f t="shared" ref="M134:T134" si="73">M135+M136+M137</f>
        <v>4764608000</v>
      </c>
      <c r="N134" s="48">
        <f t="shared" si="73"/>
        <v>0</v>
      </c>
      <c r="O134" s="48">
        <f t="shared" si="73"/>
        <v>4182728348</v>
      </c>
      <c r="P134" s="48">
        <f>P135+P136+P137</f>
        <v>581879652</v>
      </c>
      <c r="Q134" s="100">
        <f t="shared" si="73"/>
        <v>3205330948</v>
      </c>
      <c r="R134" s="26">
        <f t="shared" si="61"/>
        <v>0.67273759939957289</v>
      </c>
      <c r="S134" s="100">
        <f t="shared" si="73"/>
        <v>0</v>
      </c>
      <c r="T134" s="101">
        <f t="shared" si="73"/>
        <v>0</v>
      </c>
    </row>
    <row r="135" spans="1:20" ht="58.5" customHeight="1" x14ac:dyDescent="0.25">
      <c r="A135" s="94" t="s">
        <v>18</v>
      </c>
      <c r="B135" s="56" t="s">
        <v>89</v>
      </c>
      <c r="C135" s="56" t="s">
        <v>90</v>
      </c>
      <c r="D135" s="56" t="s">
        <v>93</v>
      </c>
      <c r="E135" s="56" t="s">
        <v>220</v>
      </c>
      <c r="F135" s="56" t="s">
        <v>155</v>
      </c>
      <c r="G135" s="23" t="s">
        <v>175</v>
      </c>
      <c r="H135" s="56" t="s">
        <v>5</v>
      </c>
      <c r="I135" s="57">
        <v>10</v>
      </c>
      <c r="J135" s="44">
        <v>3205330979</v>
      </c>
      <c r="K135" s="44"/>
      <c r="L135" s="44">
        <v>0</v>
      </c>
      <c r="M135" s="44">
        <f t="shared" si="68"/>
        <v>3205330979</v>
      </c>
      <c r="N135" s="44">
        <v>0</v>
      </c>
      <c r="O135" s="44">
        <v>3205330948</v>
      </c>
      <c r="P135" s="44">
        <f t="shared" si="65"/>
        <v>31</v>
      </c>
      <c r="Q135" s="58">
        <v>3205330948</v>
      </c>
      <c r="R135" s="25">
        <f t="shared" si="61"/>
        <v>0.99999999032861187</v>
      </c>
      <c r="S135" s="58"/>
      <c r="T135" s="59"/>
    </row>
    <row r="136" spans="1:20" ht="57.75" customHeight="1" x14ac:dyDescent="0.25">
      <c r="A136" s="94" t="s">
        <v>18</v>
      </c>
      <c r="B136" s="56" t="s">
        <v>89</v>
      </c>
      <c r="C136" s="56" t="s">
        <v>90</v>
      </c>
      <c r="D136" s="56" t="s">
        <v>93</v>
      </c>
      <c r="E136" s="56" t="s">
        <v>220</v>
      </c>
      <c r="F136" s="56" t="s">
        <v>156</v>
      </c>
      <c r="G136" s="23" t="s">
        <v>176</v>
      </c>
      <c r="H136" s="56" t="s">
        <v>5</v>
      </c>
      <c r="I136" s="57">
        <v>10</v>
      </c>
      <c r="J136" s="44">
        <v>1323487621</v>
      </c>
      <c r="K136" s="44">
        <v>0</v>
      </c>
      <c r="L136" s="44"/>
      <c r="M136" s="44">
        <f t="shared" si="68"/>
        <v>1323487621</v>
      </c>
      <c r="N136" s="44">
        <v>0</v>
      </c>
      <c r="O136" s="44">
        <v>741608000</v>
      </c>
      <c r="P136" s="44">
        <f t="shared" ref="P136:P137" si="74">+M136-O136-N136</f>
        <v>581879621</v>
      </c>
      <c r="Q136" s="58">
        <v>0</v>
      </c>
      <c r="R136" s="25">
        <f t="shared" si="61"/>
        <v>0</v>
      </c>
      <c r="S136" s="58"/>
      <c r="T136" s="59"/>
    </row>
    <row r="137" spans="1:20" ht="57" customHeight="1" x14ac:dyDescent="0.25">
      <c r="A137" s="94" t="s">
        <v>18</v>
      </c>
      <c r="B137" s="56" t="s">
        <v>89</v>
      </c>
      <c r="C137" s="56" t="s">
        <v>90</v>
      </c>
      <c r="D137" s="56" t="s">
        <v>93</v>
      </c>
      <c r="E137" s="56" t="s">
        <v>220</v>
      </c>
      <c r="F137" s="56" t="s">
        <v>157</v>
      </c>
      <c r="G137" s="23" t="s">
        <v>177</v>
      </c>
      <c r="H137" s="56" t="s">
        <v>5</v>
      </c>
      <c r="I137" s="57">
        <v>10</v>
      </c>
      <c r="J137" s="44">
        <v>235789400</v>
      </c>
      <c r="K137" s="44">
        <v>0</v>
      </c>
      <c r="L137" s="44"/>
      <c r="M137" s="44">
        <f t="shared" si="68"/>
        <v>235789400</v>
      </c>
      <c r="N137" s="44">
        <v>0</v>
      </c>
      <c r="O137" s="44">
        <v>235789400</v>
      </c>
      <c r="P137" s="44">
        <f t="shared" si="74"/>
        <v>0</v>
      </c>
      <c r="Q137" s="58">
        <v>0</v>
      </c>
      <c r="R137" s="25">
        <f t="shared" si="61"/>
        <v>0</v>
      </c>
      <c r="S137" s="58">
        <v>0</v>
      </c>
      <c r="T137" s="59">
        <v>0</v>
      </c>
    </row>
    <row r="138" spans="1:20" ht="48" customHeight="1" x14ac:dyDescent="0.25">
      <c r="A138" s="95" t="s">
        <v>18</v>
      </c>
      <c r="B138" s="98" t="s">
        <v>89</v>
      </c>
      <c r="C138" s="98" t="s">
        <v>90</v>
      </c>
      <c r="D138" s="98" t="s">
        <v>94</v>
      </c>
      <c r="E138" s="98"/>
      <c r="F138" s="98"/>
      <c r="G138" s="12" t="s">
        <v>199</v>
      </c>
      <c r="H138" s="98" t="s">
        <v>5</v>
      </c>
      <c r="I138" s="99">
        <v>10</v>
      </c>
      <c r="J138" s="48">
        <f>J140+J141</f>
        <v>9851592000</v>
      </c>
      <c r="K138" s="48">
        <f t="shared" ref="K138:Q138" si="75">K140+K141</f>
        <v>0</v>
      </c>
      <c r="L138" s="48">
        <f t="shared" si="75"/>
        <v>0</v>
      </c>
      <c r="M138" s="48">
        <f t="shared" si="75"/>
        <v>9851592000</v>
      </c>
      <c r="N138" s="48">
        <f t="shared" si="75"/>
        <v>0</v>
      </c>
      <c r="O138" s="48">
        <f t="shared" si="75"/>
        <v>4081466234.96</v>
      </c>
      <c r="P138" s="48">
        <f t="shared" si="75"/>
        <v>5770125765.04</v>
      </c>
      <c r="Q138" s="100">
        <f t="shared" si="75"/>
        <v>2621455291.96</v>
      </c>
      <c r="R138" s="26">
        <f t="shared" si="61"/>
        <v>0.2660945857238099</v>
      </c>
      <c r="S138" s="100">
        <f t="shared" ref="S138:T138" si="76">S140+S141</f>
        <v>8301058.96</v>
      </c>
      <c r="T138" s="101">
        <f t="shared" si="76"/>
        <v>8301058.96</v>
      </c>
    </row>
    <row r="139" spans="1:20" ht="46.5" customHeight="1" x14ac:dyDescent="0.25">
      <c r="A139" s="95" t="s">
        <v>18</v>
      </c>
      <c r="B139" s="98" t="s">
        <v>89</v>
      </c>
      <c r="C139" s="98" t="s">
        <v>90</v>
      </c>
      <c r="D139" s="98" t="s">
        <v>94</v>
      </c>
      <c r="E139" s="98"/>
      <c r="F139" s="98"/>
      <c r="G139" s="117" t="s">
        <v>199</v>
      </c>
      <c r="H139" s="98" t="s">
        <v>5</v>
      </c>
      <c r="I139" s="99">
        <v>21</v>
      </c>
      <c r="J139" s="100">
        <f>J142</f>
        <v>1191767000</v>
      </c>
      <c r="K139" s="100">
        <f t="shared" ref="K139:Q139" si="77">K142</f>
        <v>0</v>
      </c>
      <c r="L139" s="48">
        <f t="shared" si="77"/>
        <v>0</v>
      </c>
      <c r="M139" s="48">
        <f t="shared" si="77"/>
        <v>1191767000</v>
      </c>
      <c r="N139" s="48">
        <f t="shared" si="77"/>
        <v>0</v>
      </c>
      <c r="O139" s="48">
        <f t="shared" si="77"/>
        <v>1191767000</v>
      </c>
      <c r="P139" s="48">
        <f t="shared" si="77"/>
        <v>0</v>
      </c>
      <c r="Q139" s="100">
        <f t="shared" si="77"/>
        <v>1191767000</v>
      </c>
      <c r="R139" s="26">
        <f t="shared" si="61"/>
        <v>1</v>
      </c>
      <c r="S139" s="100">
        <f t="shared" ref="S139:T139" si="78">S142</f>
        <v>0</v>
      </c>
      <c r="T139" s="101">
        <f t="shared" si="78"/>
        <v>0</v>
      </c>
    </row>
    <row r="140" spans="1:20" ht="46.5" customHeight="1" x14ac:dyDescent="0.25">
      <c r="A140" s="94" t="s">
        <v>18</v>
      </c>
      <c r="B140" s="56" t="s">
        <v>89</v>
      </c>
      <c r="C140" s="56" t="s">
        <v>90</v>
      </c>
      <c r="D140" s="56" t="s">
        <v>94</v>
      </c>
      <c r="E140" s="56" t="s">
        <v>218</v>
      </c>
      <c r="F140" s="56" t="s">
        <v>158</v>
      </c>
      <c r="G140" s="23" t="s">
        <v>178</v>
      </c>
      <c r="H140" s="56" t="s">
        <v>5</v>
      </c>
      <c r="I140" s="57">
        <v>10</v>
      </c>
      <c r="J140" s="58">
        <v>4332952000</v>
      </c>
      <c r="K140" s="58">
        <v>0</v>
      </c>
      <c r="L140" s="44"/>
      <c r="M140" s="44">
        <f>J140+K140-L140</f>
        <v>4332952000</v>
      </c>
      <c r="N140" s="44">
        <v>0</v>
      </c>
      <c r="O140" s="44">
        <v>2818264979</v>
      </c>
      <c r="P140" s="44">
        <f>+M140-O140-N140</f>
        <v>1514687021</v>
      </c>
      <c r="Q140" s="58">
        <v>2374491640</v>
      </c>
      <c r="R140" s="25">
        <f t="shared" si="61"/>
        <v>0.54800783392015417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89</v>
      </c>
      <c r="C141" s="56" t="s">
        <v>90</v>
      </c>
      <c r="D141" s="56" t="s">
        <v>94</v>
      </c>
      <c r="E141" s="56" t="s">
        <v>218</v>
      </c>
      <c r="F141" s="56" t="s">
        <v>159</v>
      </c>
      <c r="G141" s="23" t="s">
        <v>179</v>
      </c>
      <c r="H141" s="56" t="s">
        <v>5</v>
      </c>
      <c r="I141" s="57">
        <v>10</v>
      </c>
      <c r="J141" s="44">
        <v>5518640000</v>
      </c>
      <c r="K141" s="44"/>
      <c r="L141" s="44"/>
      <c r="M141" s="44">
        <f>J141+K141-L141</f>
        <v>5518640000</v>
      </c>
      <c r="N141" s="44">
        <v>0</v>
      </c>
      <c r="O141" s="44">
        <v>1263201255.96</v>
      </c>
      <c r="P141" s="44">
        <f>+M141-O141-N141</f>
        <v>4255438744.04</v>
      </c>
      <c r="Q141" s="58">
        <v>246963651.96000001</v>
      </c>
      <c r="R141" s="25">
        <f t="shared" si="61"/>
        <v>4.4750817585492077E-2</v>
      </c>
      <c r="S141" s="58">
        <v>8301058.96</v>
      </c>
      <c r="T141" s="59">
        <v>8301058.96</v>
      </c>
    </row>
    <row r="142" spans="1:20" ht="41.25" customHeight="1" x14ac:dyDescent="0.25">
      <c r="A142" s="94" t="s">
        <v>18</v>
      </c>
      <c r="B142" s="56" t="s">
        <v>89</v>
      </c>
      <c r="C142" s="56" t="s">
        <v>90</v>
      </c>
      <c r="D142" s="56" t="s">
        <v>94</v>
      </c>
      <c r="E142" s="56" t="s">
        <v>218</v>
      </c>
      <c r="F142" s="56" t="s">
        <v>158</v>
      </c>
      <c r="G142" s="23" t="s">
        <v>178</v>
      </c>
      <c r="H142" s="56" t="s">
        <v>8</v>
      </c>
      <c r="I142" s="57">
        <v>21</v>
      </c>
      <c r="J142" s="44">
        <v>1191767000</v>
      </c>
      <c r="K142" s="44">
        <v>0</v>
      </c>
      <c r="L142" s="44"/>
      <c r="M142" s="44">
        <f t="shared" si="68"/>
        <v>1191767000</v>
      </c>
      <c r="N142" s="44">
        <v>0</v>
      </c>
      <c r="O142" s="44">
        <v>1191767000</v>
      </c>
      <c r="P142" s="44">
        <f t="shared" ref="P142" si="79">+M142-O142-N142</f>
        <v>0</v>
      </c>
      <c r="Q142" s="58">
        <v>1191767000</v>
      </c>
      <c r="R142" s="25">
        <f t="shared" si="61"/>
        <v>1</v>
      </c>
      <c r="S142" s="115">
        <v>0</v>
      </c>
      <c r="T142" s="59">
        <v>0</v>
      </c>
    </row>
    <row r="143" spans="1:20" s="102" customFormat="1" ht="41.25" customHeight="1" x14ac:dyDescent="0.25">
      <c r="A143" s="95" t="s">
        <v>18</v>
      </c>
      <c r="B143" s="98" t="s">
        <v>89</v>
      </c>
      <c r="C143" s="98" t="s">
        <v>90</v>
      </c>
      <c r="D143" s="98" t="s">
        <v>95</v>
      </c>
      <c r="E143" s="98"/>
      <c r="F143" s="98"/>
      <c r="G143" s="117" t="s">
        <v>212</v>
      </c>
      <c r="H143" s="98" t="s">
        <v>5</v>
      </c>
      <c r="I143" s="99">
        <v>10</v>
      </c>
      <c r="J143" s="48">
        <f>J144+J145+J146</f>
        <v>1900000000</v>
      </c>
      <c r="K143" s="48">
        <f>K144+K145+K146</f>
        <v>0</v>
      </c>
      <c r="L143" s="48">
        <f t="shared" ref="L143:T143" si="80">L144+L145+L146</f>
        <v>0</v>
      </c>
      <c r="M143" s="48">
        <f t="shared" si="80"/>
        <v>1900000000</v>
      </c>
      <c r="N143" s="48">
        <f t="shared" si="80"/>
        <v>0</v>
      </c>
      <c r="O143" s="48">
        <f t="shared" si="80"/>
        <v>0</v>
      </c>
      <c r="P143" s="48">
        <f>P144+P145+P146</f>
        <v>1900000000</v>
      </c>
      <c r="Q143" s="100">
        <f t="shared" si="80"/>
        <v>0</v>
      </c>
      <c r="R143" s="26">
        <f t="shared" si="61"/>
        <v>0</v>
      </c>
      <c r="S143" s="100">
        <f t="shared" si="80"/>
        <v>0</v>
      </c>
      <c r="T143" s="101">
        <f t="shared" si="80"/>
        <v>0</v>
      </c>
    </row>
    <row r="144" spans="1:20" s="47" customFormat="1" ht="55.5" customHeight="1" x14ac:dyDescent="0.25">
      <c r="A144" s="94" t="s">
        <v>18</v>
      </c>
      <c r="B144" s="56" t="s">
        <v>89</v>
      </c>
      <c r="C144" s="56" t="s">
        <v>90</v>
      </c>
      <c r="D144" s="56" t="s">
        <v>95</v>
      </c>
      <c r="E144" s="56" t="s">
        <v>218</v>
      </c>
      <c r="F144" s="56" t="s">
        <v>160</v>
      </c>
      <c r="G144" s="23" t="s">
        <v>180</v>
      </c>
      <c r="H144" s="56" t="s">
        <v>5</v>
      </c>
      <c r="I144" s="57">
        <v>10</v>
      </c>
      <c r="J144" s="58">
        <v>440000000</v>
      </c>
      <c r="K144" s="44">
        <v>0</v>
      </c>
      <c r="L144" s="44"/>
      <c r="M144" s="44">
        <f t="shared" si="68"/>
        <v>440000000</v>
      </c>
      <c r="N144" s="113">
        <v>0</v>
      </c>
      <c r="O144" s="44">
        <v>0</v>
      </c>
      <c r="P144" s="44">
        <f t="shared" si="65"/>
        <v>440000000</v>
      </c>
      <c r="Q144" s="58">
        <v>0</v>
      </c>
      <c r="R144" s="25">
        <f t="shared" si="61"/>
        <v>0</v>
      </c>
      <c r="S144" s="58">
        <v>0</v>
      </c>
      <c r="T144" s="59">
        <v>0</v>
      </c>
    </row>
    <row r="145" spans="1:20" s="47" customFormat="1" ht="48" customHeight="1" x14ac:dyDescent="0.25">
      <c r="A145" s="94" t="s">
        <v>18</v>
      </c>
      <c r="B145" s="56" t="s">
        <v>89</v>
      </c>
      <c r="C145" s="56" t="s">
        <v>90</v>
      </c>
      <c r="D145" s="56" t="s">
        <v>95</v>
      </c>
      <c r="E145" s="56" t="s">
        <v>218</v>
      </c>
      <c r="F145" s="56" t="s">
        <v>161</v>
      </c>
      <c r="G145" s="23" t="s">
        <v>181</v>
      </c>
      <c r="H145" s="56" t="s">
        <v>5</v>
      </c>
      <c r="I145" s="57">
        <v>10</v>
      </c>
      <c r="J145" s="58">
        <v>1300000000</v>
      </c>
      <c r="K145" s="44"/>
      <c r="L145" s="44"/>
      <c r="M145" s="44">
        <f t="shared" si="68"/>
        <v>1300000000</v>
      </c>
      <c r="N145" s="113">
        <v>0</v>
      </c>
      <c r="O145" s="44">
        <v>0</v>
      </c>
      <c r="P145" s="44">
        <f t="shared" ref="P145:P146" si="81">+M145-O145-N145</f>
        <v>1300000000</v>
      </c>
      <c r="Q145" s="58"/>
      <c r="R145" s="25">
        <f t="shared" si="61"/>
        <v>0</v>
      </c>
      <c r="S145" s="58"/>
      <c r="T145" s="59"/>
    </row>
    <row r="146" spans="1:20" s="47" customFormat="1" ht="42.75" customHeight="1" x14ac:dyDescent="0.25">
      <c r="A146" s="94" t="s">
        <v>18</v>
      </c>
      <c r="B146" s="56" t="s">
        <v>89</v>
      </c>
      <c r="C146" s="56" t="s">
        <v>90</v>
      </c>
      <c r="D146" s="56" t="s">
        <v>95</v>
      </c>
      <c r="E146" s="56" t="s">
        <v>218</v>
      </c>
      <c r="F146" s="56" t="s">
        <v>162</v>
      </c>
      <c r="G146" s="23" t="s">
        <v>182</v>
      </c>
      <c r="H146" s="56" t="s">
        <v>5</v>
      </c>
      <c r="I146" s="57">
        <v>10</v>
      </c>
      <c r="J146" s="58">
        <v>160000000</v>
      </c>
      <c r="K146" s="44">
        <v>0</v>
      </c>
      <c r="L146" s="44"/>
      <c r="M146" s="44">
        <f t="shared" si="68"/>
        <v>160000000</v>
      </c>
      <c r="N146" s="113">
        <v>0</v>
      </c>
      <c r="O146" s="44">
        <v>0</v>
      </c>
      <c r="P146" s="44">
        <f t="shared" si="81"/>
        <v>160000000</v>
      </c>
      <c r="Q146" s="58">
        <v>0</v>
      </c>
      <c r="R146" s="25">
        <f t="shared" si="61"/>
        <v>0</v>
      </c>
      <c r="S146" s="58">
        <v>0</v>
      </c>
      <c r="T146" s="59">
        <v>0</v>
      </c>
    </row>
    <row r="147" spans="1:20" s="47" customFormat="1" ht="42.75" customHeight="1" x14ac:dyDescent="0.25">
      <c r="A147" s="95" t="s">
        <v>18</v>
      </c>
      <c r="B147" s="98" t="s">
        <v>89</v>
      </c>
      <c r="C147" s="98" t="s">
        <v>90</v>
      </c>
      <c r="D147" s="98">
        <v>16</v>
      </c>
      <c r="E147" s="98"/>
      <c r="F147" s="98"/>
      <c r="G147" s="12" t="s">
        <v>200</v>
      </c>
      <c r="H147" s="98" t="s">
        <v>5</v>
      </c>
      <c r="I147" s="99">
        <v>10</v>
      </c>
      <c r="J147" s="100">
        <f>J148+J149+J150+J151</f>
        <v>21856000000</v>
      </c>
      <c r="K147" s="48">
        <f t="shared" ref="K147:T147" si="82">K148+K149+K150+K151</f>
        <v>0</v>
      </c>
      <c r="L147" s="48">
        <f t="shared" si="82"/>
        <v>0</v>
      </c>
      <c r="M147" s="48">
        <f>M148+M149+M150+M151</f>
        <v>21856000000</v>
      </c>
      <c r="N147" s="48">
        <f t="shared" si="82"/>
        <v>0</v>
      </c>
      <c r="O147" s="48">
        <f t="shared" si="82"/>
        <v>5284646399</v>
      </c>
      <c r="P147" s="48">
        <f>P148+P149+P150+P151</f>
        <v>16571353601</v>
      </c>
      <c r="Q147" s="100">
        <f t="shared" si="82"/>
        <v>4172485971</v>
      </c>
      <c r="R147" s="26">
        <f t="shared" si="61"/>
        <v>0.19090803308016105</v>
      </c>
      <c r="S147" s="100">
        <f t="shared" si="82"/>
        <v>0</v>
      </c>
      <c r="T147" s="101">
        <f t="shared" si="82"/>
        <v>0</v>
      </c>
    </row>
    <row r="148" spans="1:20" s="47" customFormat="1" ht="56.25" customHeight="1" x14ac:dyDescent="0.25">
      <c r="A148" s="94" t="s">
        <v>18</v>
      </c>
      <c r="B148" s="56" t="s">
        <v>89</v>
      </c>
      <c r="C148" s="56" t="s">
        <v>90</v>
      </c>
      <c r="D148" s="56">
        <v>16</v>
      </c>
      <c r="E148" s="56" t="s">
        <v>220</v>
      </c>
      <c r="F148" s="56" t="s">
        <v>150</v>
      </c>
      <c r="G148" s="23" t="s">
        <v>183</v>
      </c>
      <c r="H148" s="56" t="s">
        <v>5</v>
      </c>
      <c r="I148" s="57">
        <v>10</v>
      </c>
      <c r="J148" s="58">
        <v>14263763540</v>
      </c>
      <c r="K148" s="44">
        <v>0</v>
      </c>
      <c r="L148" s="44"/>
      <c r="M148" s="44">
        <f t="shared" si="68"/>
        <v>14263763540</v>
      </c>
      <c r="N148" s="44">
        <v>0</v>
      </c>
      <c r="O148" s="44">
        <v>1558760613</v>
      </c>
      <c r="P148" s="44">
        <f t="shared" si="65"/>
        <v>12705002927</v>
      </c>
      <c r="Q148" s="58">
        <v>814910810</v>
      </c>
      <c r="R148" s="25">
        <f t="shared" si="61"/>
        <v>5.7131542297005858E-2</v>
      </c>
      <c r="S148" s="58"/>
      <c r="T148" s="59"/>
    </row>
    <row r="149" spans="1:20" s="47" customFormat="1" ht="48.75" customHeight="1" x14ac:dyDescent="0.25">
      <c r="A149" s="94" t="s">
        <v>18</v>
      </c>
      <c r="B149" s="56" t="s">
        <v>89</v>
      </c>
      <c r="C149" s="56" t="s">
        <v>90</v>
      </c>
      <c r="D149" s="56">
        <v>16</v>
      </c>
      <c r="E149" s="56" t="s">
        <v>220</v>
      </c>
      <c r="F149" s="56" t="s">
        <v>148</v>
      </c>
      <c r="G149" s="23" t="s">
        <v>184</v>
      </c>
      <c r="H149" s="56" t="s">
        <v>5</v>
      </c>
      <c r="I149" s="57">
        <v>10</v>
      </c>
      <c r="J149" s="58">
        <v>5531215836</v>
      </c>
      <c r="K149" s="44">
        <v>0</v>
      </c>
      <c r="L149" s="44"/>
      <c r="M149" s="44">
        <f t="shared" si="68"/>
        <v>5531215836</v>
      </c>
      <c r="N149" s="113">
        <v>0</v>
      </c>
      <c r="O149" s="44">
        <v>3420948286</v>
      </c>
      <c r="P149" s="44">
        <f t="shared" ref="P149:P150" si="83">+M149-O149-N149</f>
        <v>2110267550</v>
      </c>
      <c r="Q149" s="58">
        <v>3357575161</v>
      </c>
      <c r="R149" s="25">
        <f t="shared" si="61"/>
        <v>0.60702298745009597</v>
      </c>
      <c r="S149" s="58"/>
      <c r="T149" s="59"/>
    </row>
    <row r="150" spans="1:20" s="47" customFormat="1" ht="54" customHeight="1" x14ac:dyDescent="0.25">
      <c r="A150" s="94" t="s">
        <v>18</v>
      </c>
      <c r="B150" s="56" t="s">
        <v>89</v>
      </c>
      <c r="C150" s="56" t="s">
        <v>90</v>
      </c>
      <c r="D150" s="56">
        <v>16</v>
      </c>
      <c r="E150" s="56" t="s">
        <v>220</v>
      </c>
      <c r="F150" s="56" t="s">
        <v>156</v>
      </c>
      <c r="G150" s="23" t="s">
        <v>185</v>
      </c>
      <c r="H150" s="56" t="s">
        <v>5</v>
      </c>
      <c r="I150" s="57">
        <v>10</v>
      </c>
      <c r="J150" s="58">
        <v>1443612624</v>
      </c>
      <c r="K150" s="44">
        <v>0</v>
      </c>
      <c r="L150" s="44"/>
      <c r="M150" s="44">
        <f t="shared" si="68"/>
        <v>1443612624</v>
      </c>
      <c r="N150" s="44">
        <v>0</v>
      </c>
      <c r="O150" s="44">
        <v>304937500</v>
      </c>
      <c r="P150" s="44">
        <f t="shared" si="83"/>
        <v>1138675124</v>
      </c>
      <c r="Q150" s="58">
        <v>0</v>
      </c>
      <c r="R150" s="25">
        <f t="shared" si="61"/>
        <v>0</v>
      </c>
      <c r="S150" s="58"/>
      <c r="T150" s="59"/>
    </row>
    <row r="151" spans="1:20" s="47" customFormat="1" ht="56.25" customHeight="1" x14ac:dyDescent="0.25">
      <c r="A151" s="94" t="s">
        <v>18</v>
      </c>
      <c r="B151" s="56" t="s">
        <v>89</v>
      </c>
      <c r="C151" s="56" t="s">
        <v>90</v>
      </c>
      <c r="D151" s="56">
        <v>16</v>
      </c>
      <c r="E151" s="56" t="s">
        <v>220</v>
      </c>
      <c r="F151" s="56" t="s">
        <v>154</v>
      </c>
      <c r="G151" s="23" t="s">
        <v>186</v>
      </c>
      <c r="H151" s="56" t="s">
        <v>5</v>
      </c>
      <c r="I151" s="57">
        <v>10</v>
      </c>
      <c r="J151" s="58">
        <v>617408000</v>
      </c>
      <c r="K151" s="44">
        <v>0</v>
      </c>
      <c r="L151" s="44"/>
      <c r="M151" s="44">
        <f t="shared" si="68"/>
        <v>617408000</v>
      </c>
      <c r="N151" s="113">
        <v>0</v>
      </c>
      <c r="O151" s="44">
        <v>0</v>
      </c>
      <c r="P151" s="114">
        <f>+M151-O151-N151</f>
        <v>617408000</v>
      </c>
      <c r="Q151" s="58">
        <v>0</v>
      </c>
      <c r="R151" s="25">
        <f t="shared" si="61"/>
        <v>0</v>
      </c>
      <c r="S151" s="58"/>
      <c r="T151" s="59"/>
    </row>
    <row r="152" spans="1:20" ht="31.5" customHeight="1" x14ac:dyDescent="0.25">
      <c r="A152" s="95" t="s">
        <v>18</v>
      </c>
      <c r="B152" s="11">
        <v>2999</v>
      </c>
      <c r="C152" s="11"/>
      <c r="D152" s="11"/>
      <c r="E152" s="11"/>
      <c r="F152" s="11"/>
      <c r="G152" s="12" t="s">
        <v>231</v>
      </c>
      <c r="H152" s="11" t="s">
        <v>5</v>
      </c>
      <c r="I152" s="13">
        <v>10</v>
      </c>
      <c r="J152" s="14">
        <f>J153</f>
        <v>52902704000</v>
      </c>
      <c r="K152" s="14">
        <f t="shared" ref="K152:Q152" si="84">K153</f>
        <v>0</v>
      </c>
      <c r="L152" s="24">
        <f t="shared" si="84"/>
        <v>0</v>
      </c>
      <c r="M152" s="48">
        <f t="shared" si="84"/>
        <v>52902704000</v>
      </c>
      <c r="N152" s="24">
        <f>N153</f>
        <v>0</v>
      </c>
      <c r="O152" s="24">
        <f>O153</f>
        <v>17444305023.130001</v>
      </c>
      <c r="P152" s="24">
        <f t="shared" si="84"/>
        <v>35458398976.869995</v>
      </c>
      <c r="Q152" s="14">
        <f t="shared" si="84"/>
        <v>16115614916.130001</v>
      </c>
      <c r="R152" s="26">
        <f t="shared" si="61"/>
        <v>0.30462743295938144</v>
      </c>
      <c r="S152" s="14">
        <f>S153</f>
        <v>430050808.56999999</v>
      </c>
      <c r="T152" s="22">
        <f t="shared" ref="T152" si="85">T153</f>
        <v>426300148.82999998</v>
      </c>
    </row>
    <row r="153" spans="1:20" ht="31.5" customHeight="1" x14ac:dyDescent="0.25">
      <c r="A153" s="95" t="s">
        <v>18</v>
      </c>
      <c r="B153" s="11" t="s">
        <v>96</v>
      </c>
      <c r="C153" s="11" t="s">
        <v>90</v>
      </c>
      <c r="D153" s="11"/>
      <c r="E153" s="11"/>
      <c r="F153" s="11"/>
      <c r="G153" s="12" t="s">
        <v>207</v>
      </c>
      <c r="H153" s="11" t="s">
        <v>5</v>
      </c>
      <c r="I153" s="13">
        <v>10</v>
      </c>
      <c r="J153" s="14">
        <f t="shared" ref="J153:Q153" si="86">J154+J156+J159+J162+J164+J166+J168+J171</f>
        <v>52902704000</v>
      </c>
      <c r="K153" s="14">
        <f t="shared" si="86"/>
        <v>0</v>
      </c>
      <c r="L153" s="24">
        <f t="shared" si="86"/>
        <v>0</v>
      </c>
      <c r="M153" s="48">
        <f t="shared" si="86"/>
        <v>52902704000</v>
      </c>
      <c r="N153" s="24">
        <f t="shared" si="86"/>
        <v>0</v>
      </c>
      <c r="O153" s="24">
        <f t="shared" si="86"/>
        <v>17444305023.130001</v>
      </c>
      <c r="P153" s="24">
        <f t="shared" si="86"/>
        <v>35458398976.869995</v>
      </c>
      <c r="Q153" s="14">
        <f t="shared" si="86"/>
        <v>16115614916.130001</v>
      </c>
      <c r="R153" s="26">
        <f t="shared" si="61"/>
        <v>0.30462743295938144</v>
      </c>
      <c r="S153" s="14">
        <f>S154+S156+S159+S162+S164+S166+S168+S171</f>
        <v>430050808.56999999</v>
      </c>
      <c r="T153" s="22">
        <f>T154+T156+T159+T162+T164+T166+T168+T171</f>
        <v>426300148.82999998</v>
      </c>
    </row>
    <row r="154" spans="1:20" ht="31.5" customHeight="1" x14ac:dyDescent="0.25">
      <c r="A154" s="95" t="s">
        <v>18</v>
      </c>
      <c r="B154" s="11" t="s">
        <v>96</v>
      </c>
      <c r="C154" s="98" t="s">
        <v>90</v>
      </c>
      <c r="D154" s="98" t="s">
        <v>93</v>
      </c>
      <c r="E154" s="11"/>
      <c r="F154" s="11"/>
      <c r="G154" s="12" t="s">
        <v>201</v>
      </c>
      <c r="H154" s="98" t="s">
        <v>5</v>
      </c>
      <c r="I154" s="99">
        <v>10</v>
      </c>
      <c r="J154" s="14">
        <f>J155</f>
        <v>1040000000</v>
      </c>
      <c r="K154" s="24">
        <f t="shared" ref="K154:T154" si="87">K155</f>
        <v>0</v>
      </c>
      <c r="L154" s="24">
        <f t="shared" si="87"/>
        <v>0</v>
      </c>
      <c r="M154" s="48">
        <f t="shared" si="87"/>
        <v>1040000000</v>
      </c>
      <c r="N154" s="24">
        <f t="shared" si="87"/>
        <v>0</v>
      </c>
      <c r="O154" s="24">
        <f>O155</f>
        <v>0</v>
      </c>
      <c r="P154" s="24">
        <f>P155</f>
        <v>1040000000</v>
      </c>
      <c r="Q154" s="14">
        <f t="shared" si="87"/>
        <v>0</v>
      </c>
      <c r="R154" s="26">
        <f t="shared" si="61"/>
        <v>0</v>
      </c>
      <c r="S154" s="14">
        <f t="shared" si="87"/>
        <v>0</v>
      </c>
      <c r="T154" s="22">
        <f t="shared" si="87"/>
        <v>0</v>
      </c>
    </row>
    <row r="155" spans="1:20" ht="42.75" customHeight="1" x14ac:dyDescent="0.25">
      <c r="A155" s="94" t="s">
        <v>18</v>
      </c>
      <c r="B155" s="7" t="s">
        <v>96</v>
      </c>
      <c r="C155" s="56" t="s">
        <v>90</v>
      </c>
      <c r="D155" s="56" t="s">
        <v>93</v>
      </c>
      <c r="E155" s="56" t="s">
        <v>221</v>
      </c>
      <c r="F155" s="56" t="s">
        <v>165</v>
      </c>
      <c r="G155" s="23" t="s">
        <v>187</v>
      </c>
      <c r="H155" s="56" t="s">
        <v>5</v>
      </c>
      <c r="I155" s="57">
        <v>10</v>
      </c>
      <c r="J155" s="44">
        <v>1040000000</v>
      </c>
      <c r="K155" s="44">
        <v>0</v>
      </c>
      <c r="L155" s="44">
        <v>0</v>
      </c>
      <c r="M155" s="44">
        <f t="shared" ref="M155:M174" si="88">J155+K155-L155</f>
        <v>1040000000</v>
      </c>
      <c r="N155" s="44">
        <v>0</v>
      </c>
      <c r="O155" s="44">
        <v>0</v>
      </c>
      <c r="P155" s="27">
        <f t="shared" ref="P155:P167" si="89">+M155-O155-N155</f>
        <v>1040000000</v>
      </c>
      <c r="Q155" s="58"/>
      <c r="R155" s="25">
        <f t="shared" si="61"/>
        <v>0</v>
      </c>
      <c r="S155" s="58">
        <v>0</v>
      </c>
      <c r="T155" s="59">
        <v>0</v>
      </c>
    </row>
    <row r="156" spans="1:20" ht="48" customHeight="1" x14ac:dyDescent="0.25">
      <c r="A156" s="95" t="s">
        <v>18</v>
      </c>
      <c r="B156" s="98" t="s">
        <v>96</v>
      </c>
      <c r="C156" s="98" t="s">
        <v>90</v>
      </c>
      <c r="D156" s="98" t="s">
        <v>94</v>
      </c>
      <c r="E156" s="98"/>
      <c r="F156" s="98"/>
      <c r="G156" s="12" t="s">
        <v>202</v>
      </c>
      <c r="H156" s="98" t="s">
        <v>5</v>
      </c>
      <c r="I156" s="99">
        <v>10</v>
      </c>
      <c r="J156" s="48">
        <f>J157+J158</f>
        <v>23019524233</v>
      </c>
      <c r="K156" s="48">
        <f t="shared" ref="K156:T156" si="90">K157+K158</f>
        <v>0</v>
      </c>
      <c r="L156" s="48">
        <f t="shared" si="90"/>
        <v>0</v>
      </c>
      <c r="M156" s="48">
        <f>M157+M158</f>
        <v>23019524233</v>
      </c>
      <c r="N156" s="48">
        <f t="shared" si="90"/>
        <v>0</v>
      </c>
      <c r="O156" s="48">
        <f>O157+O158</f>
        <v>11893568865.02</v>
      </c>
      <c r="P156" s="24">
        <f>P157+P158</f>
        <v>11125955367.98</v>
      </c>
      <c r="Q156" s="100">
        <f>Q157+Q158</f>
        <v>11893568865.02</v>
      </c>
      <c r="R156" s="26">
        <f t="shared" si="61"/>
        <v>0.51667309648258453</v>
      </c>
      <c r="S156" s="100">
        <f t="shared" si="90"/>
        <v>401527199.74000001</v>
      </c>
      <c r="T156" s="101">
        <f t="shared" si="90"/>
        <v>397776540</v>
      </c>
    </row>
    <row r="157" spans="1:20" ht="45" customHeight="1" x14ac:dyDescent="0.25">
      <c r="A157" s="94" t="s">
        <v>18</v>
      </c>
      <c r="B157" s="56" t="s">
        <v>96</v>
      </c>
      <c r="C157" s="56" t="s">
        <v>90</v>
      </c>
      <c r="D157" s="56" t="s">
        <v>94</v>
      </c>
      <c r="E157" s="56" t="s">
        <v>221</v>
      </c>
      <c r="F157" s="56" t="s">
        <v>163</v>
      </c>
      <c r="G157" s="23" t="s">
        <v>188</v>
      </c>
      <c r="H157" s="56" t="s">
        <v>5</v>
      </c>
      <c r="I157" s="57">
        <v>10</v>
      </c>
      <c r="J157" s="58">
        <v>1055000000</v>
      </c>
      <c r="K157" s="44">
        <v>0</v>
      </c>
      <c r="L157" s="44">
        <v>0</v>
      </c>
      <c r="M157" s="44">
        <f t="shared" si="88"/>
        <v>1055000000</v>
      </c>
      <c r="N157" s="44">
        <v>0</v>
      </c>
      <c r="O157" s="44">
        <v>0</v>
      </c>
      <c r="P157" s="27">
        <f t="shared" si="89"/>
        <v>1055000000</v>
      </c>
      <c r="Q157" s="58">
        <v>0</v>
      </c>
      <c r="R157" s="25">
        <f t="shared" si="61"/>
        <v>0</v>
      </c>
      <c r="S157" s="58"/>
      <c r="T157" s="59"/>
    </row>
    <row r="158" spans="1:20" ht="47.25" customHeight="1" x14ac:dyDescent="0.25">
      <c r="A158" s="94" t="s">
        <v>18</v>
      </c>
      <c r="B158" s="56" t="s">
        <v>96</v>
      </c>
      <c r="C158" s="56" t="s">
        <v>90</v>
      </c>
      <c r="D158" s="56" t="s">
        <v>94</v>
      </c>
      <c r="E158" s="56" t="s">
        <v>221</v>
      </c>
      <c r="F158" s="56" t="s">
        <v>164</v>
      </c>
      <c r="G158" s="23" t="s">
        <v>189</v>
      </c>
      <c r="H158" s="56" t="s">
        <v>5</v>
      </c>
      <c r="I158" s="57">
        <v>10</v>
      </c>
      <c r="J158" s="58">
        <v>21964524233</v>
      </c>
      <c r="K158" s="44">
        <v>0</v>
      </c>
      <c r="L158" s="44">
        <v>0</v>
      </c>
      <c r="M158" s="44">
        <v>21964524233</v>
      </c>
      <c r="N158" s="44">
        <v>0</v>
      </c>
      <c r="O158" s="44">
        <v>11893568865.02</v>
      </c>
      <c r="P158" s="27">
        <f>+M158-O158-N158</f>
        <v>10070955367.98</v>
      </c>
      <c r="Q158" s="58">
        <v>11893568865.02</v>
      </c>
      <c r="R158" s="25">
        <f t="shared" si="61"/>
        <v>0.54148993799514367</v>
      </c>
      <c r="S158" s="58">
        <v>401527199.74000001</v>
      </c>
      <c r="T158" s="59">
        <v>397776540</v>
      </c>
    </row>
    <row r="159" spans="1:20" ht="47.25" customHeight="1" x14ac:dyDescent="0.25">
      <c r="A159" s="95" t="s">
        <v>18</v>
      </c>
      <c r="B159" s="98" t="s">
        <v>96</v>
      </c>
      <c r="C159" s="98" t="s">
        <v>90</v>
      </c>
      <c r="D159" s="98" t="s">
        <v>95</v>
      </c>
      <c r="E159" s="98"/>
      <c r="F159" s="98"/>
      <c r="G159" s="12" t="s">
        <v>203</v>
      </c>
      <c r="H159" s="98" t="s">
        <v>5</v>
      </c>
      <c r="I159" s="99">
        <v>10</v>
      </c>
      <c r="J159" s="100">
        <f>J160+J161</f>
        <v>5464000000</v>
      </c>
      <c r="K159" s="48">
        <f t="shared" ref="K159:T159" si="91">K160+K161</f>
        <v>0</v>
      </c>
      <c r="L159" s="48">
        <f t="shared" si="91"/>
        <v>0</v>
      </c>
      <c r="M159" s="48">
        <f t="shared" si="91"/>
        <v>5464000000</v>
      </c>
      <c r="N159" s="48">
        <f t="shared" si="91"/>
        <v>0</v>
      </c>
      <c r="O159" s="48">
        <f>O160+O161</f>
        <v>4058372837</v>
      </c>
      <c r="P159" s="24">
        <f>P160+P161</f>
        <v>1405627163</v>
      </c>
      <c r="Q159" s="100">
        <f t="shared" si="91"/>
        <v>3295924667</v>
      </c>
      <c r="R159" s="26">
        <f t="shared" si="61"/>
        <v>0.60320729630307468</v>
      </c>
      <c r="S159" s="100">
        <f t="shared" si="91"/>
        <v>0</v>
      </c>
      <c r="T159" s="101">
        <f t="shared" si="91"/>
        <v>0</v>
      </c>
    </row>
    <row r="160" spans="1:20" ht="41.25" customHeight="1" x14ac:dyDescent="0.25">
      <c r="A160" s="94" t="s">
        <v>18</v>
      </c>
      <c r="B160" s="56" t="s">
        <v>96</v>
      </c>
      <c r="C160" s="56" t="s">
        <v>90</v>
      </c>
      <c r="D160" s="56" t="s">
        <v>95</v>
      </c>
      <c r="E160" s="56" t="s">
        <v>221</v>
      </c>
      <c r="F160" s="56" t="s">
        <v>166</v>
      </c>
      <c r="G160" s="23" t="s">
        <v>190</v>
      </c>
      <c r="H160" s="56" t="s">
        <v>5</v>
      </c>
      <c r="I160" s="57">
        <v>10</v>
      </c>
      <c r="J160" s="58">
        <v>1049493214</v>
      </c>
      <c r="K160" s="44">
        <v>0</v>
      </c>
      <c r="L160" s="44">
        <v>0</v>
      </c>
      <c r="M160" s="44">
        <f t="shared" si="88"/>
        <v>1049493214</v>
      </c>
      <c r="N160" s="44">
        <v>0</v>
      </c>
      <c r="O160" s="44">
        <v>406051808</v>
      </c>
      <c r="P160" s="27">
        <f t="shared" si="89"/>
        <v>643441406</v>
      </c>
      <c r="Q160" s="58">
        <v>0</v>
      </c>
      <c r="R160" s="25">
        <f t="shared" si="61"/>
        <v>0</v>
      </c>
      <c r="S160" s="58"/>
      <c r="T160" s="59"/>
    </row>
    <row r="161" spans="1:20" ht="47.25" customHeight="1" x14ac:dyDescent="0.25">
      <c r="A161" s="94" t="s">
        <v>18</v>
      </c>
      <c r="B161" s="56" t="s">
        <v>96</v>
      </c>
      <c r="C161" s="56" t="s">
        <v>90</v>
      </c>
      <c r="D161" s="56" t="s">
        <v>95</v>
      </c>
      <c r="E161" s="56" t="s">
        <v>221</v>
      </c>
      <c r="F161" s="56" t="s">
        <v>164</v>
      </c>
      <c r="G161" s="23" t="s">
        <v>191</v>
      </c>
      <c r="H161" s="56" t="s">
        <v>5</v>
      </c>
      <c r="I161" s="57">
        <v>10</v>
      </c>
      <c r="J161" s="58">
        <v>4414506786</v>
      </c>
      <c r="K161" s="44">
        <v>0</v>
      </c>
      <c r="L161" s="44">
        <v>0</v>
      </c>
      <c r="M161" s="44">
        <f t="shared" si="88"/>
        <v>4414506786</v>
      </c>
      <c r="N161" s="44">
        <v>0</v>
      </c>
      <c r="O161" s="44">
        <v>3652321029</v>
      </c>
      <c r="P161" s="27">
        <f t="shared" ref="P161" si="92">+M161-O161-N161</f>
        <v>762185757</v>
      </c>
      <c r="Q161" s="58">
        <v>3295924667</v>
      </c>
      <c r="R161" s="25">
        <f t="shared" si="61"/>
        <v>0.74661220987417465</v>
      </c>
      <c r="S161" s="58"/>
      <c r="T161" s="59"/>
    </row>
    <row r="162" spans="1:20" ht="47.25" customHeight="1" x14ac:dyDescent="0.25">
      <c r="A162" s="95" t="s">
        <v>18</v>
      </c>
      <c r="B162" s="98" t="s">
        <v>96</v>
      </c>
      <c r="C162" s="98" t="s">
        <v>90</v>
      </c>
      <c r="D162" s="98">
        <v>16</v>
      </c>
      <c r="E162" s="98"/>
      <c r="F162" s="98"/>
      <c r="G162" s="12" t="s">
        <v>222</v>
      </c>
      <c r="H162" s="98" t="s">
        <v>5</v>
      </c>
      <c r="I162" s="99">
        <v>10</v>
      </c>
      <c r="J162" s="100">
        <f>J163</f>
        <v>45000000</v>
      </c>
      <c r="K162" s="48">
        <f t="shared" ref="K162:Q162" si="93">K163</f>
        <v>0</v>
      </c>
      <c r="L162" s="48">
        <f t="shared" si="93"/>
        <v>0</v>
      </c>
      <c r="M162" s="48">
        <f t="shared" si="93"/>
        <v>45000000</v>
      </c>
      <c r="N162" s="48">
        <f t="shared" si="93"/>
        <v>0</v>
      </c>
      <c r="O162" s="48">
        <f t="shared" si="93"/>
        <v>0</v>
      </c>
      <c r="P162" s="24">
        <f t="shared" si="93"/>
        <v>45000000</v>
      </c>
      <c r="Q162" s="100">
        <f t="shared" si="93"/>
        <v>0</v>
      </c>
      <c r="R162" s="26">
        <f t="shared" si="61"/>
        <v>0</v>
      </c>
      <c r="S162" s="100">
        <f t="shared" ref="S162:T162" si="94">S163</f>
        <v>0</v>
      </c>
      <c r="T162" s="101">
        <f t="shared" si="94"/>
        <v>0</v>
      </c>
    </row>
    <row r="163" spans="1:20" ht="39" customHeight="1" x14ac:dyDescent="0.25">
      <c r="A163" s="94" t="s">
        <v>18</v>
      </c>
      <c r="B163" s="56" t="s">
        <v>96</v>
      </c>
      <c r="C163" s="56" t="s">
        <v>90</v>
      </c>
      <c r="D163" s="56">
        <v>16</v>
      </c>
      <c r="E163" s="56" t="s">
        <v>221</v>
      </c>
      <c r="F163" s="56">
        <v>2999065</v>
      </c>
      <c r="G163" s="23" t="s">
        <v>223</v>
      </c>
      <c r="H163" s="56" t="s">
        <v>5</v>
      </c>
      <c r="I163" s="57">
        <v>10</v>
      </c>
      <c r="J163" s="58">
        <v>45000000</v>
      </c>
      <c r="K163" s="44">
        <v>0</v>
      </c>
      <c r="L163" s="44">
        <v>0</v>
      </c>
      <c r="M163" s="44">
        <f t="shared" si="88"/>
        <v>45000000</v>
      </c>
      <c r="N163" s="113">
        <v>0</v>
      </c>
      <c r="O163" s="44">
        <v>0</v>
      </c>
      <c r="P163" s="27">
        <f t="shared" si="89"/>
        <v>45000000</v>
      </c>
      <c r="Q163" s="58">
        <v>0</v>
      </c>
      <c r="R163" s="25">
        <f t="shared" si="61"/>
        <v>0</v>
      </c>
      <c r="S163" s="58"/>
      <c r="T163" s="59"/>
    </row>
    <row r="164" spans="1:20" ht="47.25" customHeight="1" x14ac:dyDescent="0.25">
      <c r="A164" s="95" t="s">
        <v>18</v>
      </c>
      <c r="B164" s="98" t="s">
        <v>96</v>
      </c>
      <c r="C164" s="98" t="s">
        <v>90</v>
      </c>
      <c r="D164" s="98">
        <v>17</v>
      </c>
      <c r="E164" s="98"/>
      <c r="F164" s="98"/>
      <c r="G164" s="12" t="s">
        <v>204</v>
      </c>
      <c r="H164" s="98" t="s">
        <v>5</v>
      </c>
      <c r="I164" s="99">
        <v>10</v>
      </c>
      <c r="J164" s="100">
        <f>J165</f>
        <v>77674866</v>
      </c>
      <c r="K164" s="48">
        <f t="shared" ref="K164:T164" si="95">K165</f>
        <v>0</v>
      </c>
      <c r="L164" s="48">
        <f t="shared" si="95"/>
        <v>0</v>
      </c>
      <c r="M164" s="48">
        <f t="shared" si="95"/>
        <v>77674866</v>
      </c>
      <c r="N164" s="48">
        <f t="shared" si="95"/>
        <v>0</v>
      </c>
      <c r="O164" s="48">
        <f>O165</f>
        <v>77674863</v>
      </c>
      <c r="P164" s="24">
        <f t="shared" si="95"/>
        <v>3</v>
      </c>
      <c r="Q164" s="100">
        <f t="shared" si="95"/>
        <v>77674863</v>
      </c>
      <c r="R164" s="26">
        <f t="shared" si="61"/>
        <v>0.99999996137746794</v>
      </c>
      <c r="S164" s="100">
        <f t="shared" si="95"/>
        <v>23302459</v>
      </c>
      <c r="T164" s="101">
        <f t="shared" si="95"/>
        <v>23302459</v>
      </c>
    </row>
    <row r="165" spans="1:20" ht="32.25" customHeight="1" x14ac:dyDescent="0.25">
      <c r="A165" s="94" t="s">
        <v>18</v>
      </c>
      <c r="B165" s="56" t="s">
        <v>96</v>
      </c>
      <c r="C165" s="56" t="s">
        <v>90</v>
      </c>
      <c r="D165" s="56">
        <v>17</v>
      </c>
      <c r="E165" s="56" t="s">
        <v>221</v>
      </c>
      <c r="F165" s="56">
        <v>2999064</v>
      </c>
      <c r="G165" s="23" t="s">
        <v>224</v>
      </c>
      <c r="H165" s="56" t="s">
        <v>5</v>
      </c>
      <c r="I165" s="57">
        <v>10</v>
      </c>
      <c r="J165" s="58">
        <v>77674866</v>
      </c>
      <c r="K165" s="44"/>
      <c r="L165" s="44">
        <v>0</v>
      </c>
      <c r="M165" s="44">
        <f t="shared" si="88"/>
        <v>77674866</v>
      </c>
      <c r="N165" s="44">
        <v>0</v>
      </c>
      <c r="O165" s="44">
        <v>77674863</v>
      </c>
      <c r="P165" s="27">
        <f>+M165-O165-N165</f>
        <v>3</v>
      </c>
      <c r="Q165" s="58">
        <v>77674863</v>
      </c>
      <c r="R165" s="25">
        <f t="shared" si="61"/>
        <v>0.99999996137746794</v>
      </c>
      <c r="S165" s="58">
        <v>23302459</v>
      </c>
      <c r="T165" s="59">
        <v>23302459</v>
      </c>
    </row>
    <row r="166" spans="1:20" s="102" customFormat="1" ht="32.25" customHeight="1" x14ac:dyDescent="0.25">
      <c r="A166" s="95" t="s">
        <v>18</v>
      </c>
      <c r="B166" s="98" t="s">
        <v>96</v>
      </c>
      <c r="C166" s="98" t="s">
        <v>90</v>
      </c>
      <c r="D166" s="98" t="s">
        <v>97</v>
      </c>
      <c r="E166" s="98"/>
      <c r="F166" s="98"/>
      <c r="G166" s="12" t="s">
        <v>205</v>
      </c>
      <c r="H166" s="98" t="s">
        <v>5</v>
      </c>
      <c r="I166" s="99">
        <v>10</v>
      </c>
      <c r="J166" s="100">
        <f>J167</f>
        <v>837000000</v>
      </c>
      <c r="K166" s="48">
        <f t="shared" ref="K166:T166" si="96">K167</f>
        <v>0</v>
      </c>
      <c r="L166" s="48">
        <f t="shared" si="96"/>
        <v>0</v>
      </c>
      <c r="M166" s="48">
        <f t="shared" si="96"/>
        <v>837000000</v>
      </c>
      <c r="N166" s="48">
        <f t="shared" si="96"/>
        <v>0</v>
      </c>
      <c r="O166" s="48">
        <f t="shared" si="96"/>
        <v>836833327</v>
      </c>
      <c r="P166" s="24">
        <f t="shared" si="96"/>
        <v>166673</v>
      </c>
      <c r="Q166" s="100">
        <f t="shared" si="96"/>
        <v>664342311</v>
      </c>
      <c r="R166" s="26">
        <f t="shared" si="61"/>
        <v>0.79371841218637995</v>
      </c>
      <c r="S166" s="100">
        <f t="shared" si="96"/>
        <v>1027961</v>
      </c>
      <c r="T166" s="101">
        <f t="shared" si="96"/>
        <v>1027961</v>
      </c>
    </row>
    <row r="167" spans="1:20" ht="44.25" customHeight="1" x14ac:dyDescent="0.25">
      <c r="A167" s="94" t="s">
        <v>18</v>
      </c>
      <c r="B167" s="56" t="s">
        <v>96</v>
      </c>
      <c r="C167" s="56" t="s">
        <v>90</v>
      </c>
      <c r="D167" s="56" t="s">
        <v>97</v>
      </c>
      <c r="E167" s="56" t="s">
        <v>221</v>
      </c>
      <c r="F167" s="56" t="s">
        <v>166</v>
      </c>
      <c r="G167" s="23" t="s">
        <v>192</v>
      </c>
      <c r="H167" s="56" t="s">
        <v>5</v>
      </c>
      <c r="I167" s="57">
        <v>10</v>
      </c>
      <c r="J167" s="58">
        <v>837000000</v>
      </c>
      <c r="K167" s="44">
        <v>0</v>
      </c>
      <c r="L167" s="44">
        <v>0</v>
      </c>
      <c r="M167" s="44">
        <f t="shared" si="88"/>
        <v>837000000</v>
      </c>
      <c r="N167" s="113"/>
      <c r="O167" s="44">
        <v>836833327</v>
      </c>
      <c r="P167" s="27">
        <f t="shared" si="89"/>
        <v>166673</v>
      </c>
      <c r="Q167" s="58">
        <v>664342311</v>
      </c>
      <c r="R167" s="25">
        <f t="shared" si="61"/>
        <v>0.79371841218637995</v>
      </c>
      <c r="S167" s="58">
        <v>1027961</v>
      </c>
      <c r="T167" s="59">
        <v>1027961</v>
      </c>
    </row>
    <row r="168" spans="1:20" ht="42" customHeight="1" x14ac:dyDescent="0.25">
      <c r="A168" s="95" t="s">
        <v>18</v>
      </c>
      <c r="B168" s="98" t="s">
        <v>96</v>
      </c>
      <c r="C168" s="11" t="s">
        <v>90</v>
      </c>
      <c r="D168" s="11" t="s">
        <v>98</v>
      </c>
      <c r="E168" s="11"/>
      <c r="F168" s="11"/>
      <c r="G168" s="12" t="s">
        <v>206</v>
      </c>
      <c r="H168" s="11" t="s">
        <v>5</v>
      </c>
      <c r="I168" s="13">
        <v>10</v>
      </c>
      <c r="J168" s="14">
        <f>J169+J170</f>
        <v>546400000</v>
      </c>
      <c r="K168" s="24">
        <f>K169+K170</f>
        <v>0</v>
      </c>
      <c r="L168" s="116">
        <f>L169+L170</f>
        <v>0</v>
      </c>
      <c r="M168" s="48">
        <f>M169+M170</f>
        <v>546400000</v>
      </c>
      <c r="N168" s="24">
        <f t="shared" ref="N168:T168" si="97">N169+N170</f>
        <v>0</v>
      </c>
      <c r="O168" s="24">
        <f t="shared" si="97"/>
        <v>408843884</v>
      </c>
      <c r="P168" s="24">
        <f>P169+P170</f>
        <v>137556116</v>
      </c>
      <c r="Q168" s="14">
        <f t="shared" si="97"/>
        <v>15092963</v>
      </c>
      <c r="R168" s="26">
        <f t="shared" si="61"/>
        <v>2.7622553074670569E-2</v>
      </c>
      <c r="S168" s="14">
        <f t="shared" si="97"/>
        <v>79724</v>
      </c>
      <c r="T168" s="22">
        <f t="shared" si="97"/>
        <v>79724</v>
      </c>
    </row>
    <row r="169" spans="1:20" ht="39" customHeight="1" x14ac:dyDescent="0.25">
      <c r="A169" s="94" t="s">
        <v>18</v>
      </c>
      <c r="B169" s="56" t="s">
        <v>96</v>
      </c>
      <c r="C169" s="7" t="s">
        <v>90</v>
      </c>
      <c r="D169" s="7" t="s">
        <v>98</v>
      </c>
      <c r="E169" s="7" t="s">
        <v>221</v>
      </c>
      <c r="F169" s="7" t="s">
        <v>167</v>
      </c>
      <c r="G169" s="23" t="s">
        <v>193</v>
      </c>
      <c r="H169" s="7" t="s">
        <v>5</v>
      </c>
      <c r="I169" s="8">
        <v>10</v>
      </c>
      <c r="J169" s="9">
        <v>154665897</v>
      </c>
      <c r="K169" s="27"/>
      <c r="L169" s="27"/>
      <c r="M169" s="44">
        <f t="shared" si="88"/>
        <v>154665897</v>
      </c>
      <c r="N169" s="27">
        <v>0</v>
      </c>
      <c r="O169" s="27">
        <v>105710837</v>
      </c>
      <c r="P169" s="27">
        <f>+M169-O169-N169</f>
        <v>48955060</v>
      </c>
      <c r="Q169" s="9">
        <v>8167604</v>
      </c>
      <c r="R169" s="25">
        <f t="shared" si="61"/>
        <v>5.2808047271080065E-2</v>
      </c>
      <c r="S169" s="9">
        <v>79724</v>
      </c>
      <c r="T169" s="10">
        <v>79724</v>
      </c>
    </row>
    <row r="170" spans="1:20" ht="39" customHeight="1" x14ac:dyDescent="0.25">
      <c r="A170" s="94" t="s">
        <v>18</v>
      </c>
      <c r="B170" s="56" t="s">
        <v>96</v>
      </c>
      <c r="C170" s="7" t="s">
        <v>90</v>
      </c>
      <c r="D170" s="7" t="s">
        <v>98</v>
      </c>
      <c r="E170" s="7" t="s">
        <v>221</v>
      </c>
      <c r="F170" s="7" t="s">
        <v>166</v>
      </c>
      <c r="G170" s="23" t="s">
        <v>194</v>
      </c>
      <c r="H170" s="7" t="s">
        <v>5</v>
      </c>
      <c r="I170" s="8">
        <v>10</v>
      </c>
      <c r="J170" s="9">
        <v>391734103</v>
      </c>
      <c r="K170" s="27"/>
      <c r="L170" s="27"/>
      <c r="M170" s="44">
        <f t="shared" si="88"/>
        <v>391734103</v>
      </c>
      <c r="N170" s="27">
        <v>0</v>
      </c>
      <c r="O170" s="27">
        <v>303133047</v>
      </c>
      <c r="P170" s="27">
        <f>+M170-O170-N170</f>
        <v>88601056</v>
      </c>
      <c r="Q170" s="9">
        <v>6925359</v>
      </c>
      <c r="R170" s="25">
        <f t="shared" si="61"/>
        <v>1.7678723774529274E-2</v>
      </c>
      <c r="S170" s="9"/>
      <c r="T170" s="10"/>
    </row>
    <row r="171" spans="1:20" ht="39" customHeight="1" x14ac:dyDescent="0.25">
      <c r="A171" s="95" t="s">
        <v>18</v>
      </c>
      <c r="B171" s="11" t="s">
        <v>96</v>
      </c>
      <c r="C171" s="11" t="s">
        <v>90</v>
      </c>
      <c r="D171" s="11">
        <v>25</v>
      </c>
      <c r="E171" s="11"/>
      <c r="F171" s="11"/>
      <c r="G171" s="12" t="s">
        <v>225</v>
      </c>
      <c r="H171" s="11" t="s">
        <v>5</v>
      </c>
      <c r="I171" s="13">
        <v>10</v>
      </c>
      <c r="J171" s="14">
        <f>J174+J172+J173</f>
        <v>21873104901</v>
      </c>
      <c r="K171" s="24">
        <f>K174+K172+K173</f>
        <v>0</v>
      </c>
      <c r="L171" s="24">
        <f>L174+L172+L173</f>
        <v>0</v>
      </c>
      <c r="M171" s="48">
        <f>M174+M172+M173</f>
        <v>21873104901</v>
      </c>
      <c r="N171" s="24">
        <f t="shared" ref="N171" si="98">N174</f>
        <v>0</v>
      </c>
      <c r="O171" s="24">
        <f t="shared" ref="O171" si="99">O174+O172+O173</f>
        <v>169011247.11000001</v>
      </c>
      <c r="P171" s="24">
        <f t="shared" ref="P171" si="100">P174+P172+P173</f>
        <v>21704093653.889999</v>
      </c>
      <c r="Q171" s="14">
        <f t="shared" ref="Q171" si="101">Q174+Q172+Q173</f>
        <v>169011247.11000001</v>
      </c>
      <c r="R171" s="26">
        <f t="shared" si="61"/>
        <v>7.7268978444058533E-3</v>
      </c>
      <c r="S171" s="14">
        <f t="shared" ref="S171" si="102">S174+S172+S173</f>
        <v>4113464.83</v>
      </c>
      <c r="T171" s="22">
        <f t="shared" ref="T171" si="103">T174+T172+T173</f>
        <v>4113464.83</v>
      </c>
    </row>
    <row r="172" spans="1:20" ht="39" customHeight="1" x14ac:dyDescent="0.25">
      <c r="A172" s="94" t="s">
        <v>18</v>
      </c>
      <c r="B172" s="7" t="s">
        <v>96</v>
      </c>
      <c r="C172" s="7" t="s">
        <v>90</v>
      </c>
      <c r="D172" s="7">
        <v>25</v>
      </c>
      <c r="E172" s="7" t="s">
        <v>221</v>
      </c>
      <c r="F172" s="7">
        <v>2999011</v>
      </c>
      <c r="G172" s="23" t="s">
        <v>226</v>
      </c>
      <c r="H172" s="7" t="s">
        <v>5</v>
      </c>
      <c r="I172" s="8">
        <v>10</v>
      </c>
      <c r="J172" s="9">
        <v>3555000000</v>
      </c>
      <c r="K172" s="24"/>
      <c r="L172" s="24"/>
      <c r="M172" s="44">
        <f t="shared" si="88"/>
        <v>3555000000</v>
      </c>
      <c r="N172" s="27"/>
      <c r="O172" s="27">
        <v>169011247.11000001</v>
      </c>
      <c r="P172" s="27">
        <f>+M172-O172-N172</f>
        <v>3385988752.8899999</v>
      </c>
      <c r="Q172" s="9">
        <v>169011247.11000001</v>
      </c>
      <c r="R172" s="26">
        <f t="shared" si="61"/>
        <v>4.7541841662447258E-2</v>
      </c>
      <c r="S172" s="14">
        <v>4113464.83</v>
      </c>
      <c r="T172" s="22">
        <v>4113464.83</v>
      </c>
    </row>
    <row r="173" spans="1:20" ht="39" customHeight="1" x14ac:dyDescent="0.25">
      <c r="A173" s="94" t="s">
        <v>18</v>
      </c>
      <c r="B173" s="7" t="s">
        <v>96</v>
      </c>
      <c r="C173" s="7" t="s">
        <v>90</v>
      </c>
      <c r="D173" s="7">
        <v>25</v>
      </c>
      <c r="E173" s="7" t="s">
        <v>221</v>
      </c>
      <c r="F173" s="7">
        <v>2999014</v>
      </c>
      <c r="G173" s="23" t="s">
        <v>227</v>
      </c>
      <c r="H173" s="7" t="s">
        <v>5</v>
      </c>
      <c r="I173" s="8">
        <v>10</v>
      </c>
      <c r="J173" s="9">
        <v>2980845467</v>
      </c>
      <c r="K173" s="24"/>
      <c r="L173" s="24"/>
      <c r="M173" s="44">
        <f t="shared" si="88"/>
        <v>2980845467</v>
      </c>
      <c r="N173" s="27"/>
      <c r="O173" s="27">
        <v>0</v>
      </c>
      <c r="P173" s="27">
        <f t="shared" ref="P173:P174" si="104">+M173-O173-N173</f>
        <v>2980845467</v>
      </c>
      <c r="Q173" s="14"/>
      <c r="R173" s="26">
        <f t="shared" si="61"/>
        <v>0</v>
      </c>
      <c r="S173" s="14"/>
      <c r="T173" s="22"/>
    </row>
    <row r="174" spans="1:20" ht="32.25" customHeight="1" x14ac:dyDescent="0.25">
      <c r="A174" s="94" t="s">
        <v>18</v>
      </c>
      <c r="B174" s="7" t="s">
        <v>96</v>
      </c>
      <c r="C174" s="7" t="s">
        <v>90</v>
      </c>
      <c r="D174" s="7">
        <v>25</v>
      </c>
      <c r="E174" s="7" t="s">
        <v>221</v>
      </c>
      <c r="F174" s="7">
        <v>2999054</v>
      </c>
      <c r="G174" s="23" t="s">
        <v>228</v>
      </c>
      <c r="H174" s="7" t="s">
        <v>5</v>
      </c>
      <c r="I174" s="8">
        <v>10</v>
      </c>
      <c r="J174" s="9">
        <v>15337259434</v>
      </c>
      <c r="K174" s="27">
        <v>0</v>
      </c>
      <c r="L174" s="27"/>
      <c r="M174" s="44">
        <f t="shared" si="88"/>
        <v>15337259434</v>
      </c>
      <c r="N174" s="27">
        <v>0</v>
      </c>
      <c r="O174" s="27">
        <v>0</v>
      </c>
      <c r="P174" s="27">
        <f t="shared" si="104"/>
        <v>15337259434</v>
      </c>
      <c r="Q174" s="9">
        <v>0</v>
      </c>
      <c r="R174" s="25">
        <f t="shared" si="61"/>
        <v>0</v>
      </c>
      <c r="S174" s="9">
        <v>0</v>
      </c>
      <c r="T174" s="10">
        <v>0</v>
      </c>
    </row>
    <row r="175" spans="1:20" ht="16.5" customHeight="1" x14ac:dyDescent="0.25">
      <c r="A175" s="81" t="s">
        <v>18</v>
      </c>
      <c r="B175" s="81"/>
      <c r="C175" s="81"/>
      <c r="D175" s="81"/>
      <c r="E175" s="81"/>
      <c r="F175" s="81"/>
      <c r="G175" s="82" t="s">
        <v>19</v>
      </c>
      <c r="H175" s="81" t="s">
        <v>5</v>
      </c>
      <c r="I175" s="83">
        <v>10</v>
      </c>
      <c r="J175" s="64">
        <f t="shared" ref="J175:Q175" si="105">J120+J152</f>
        <v>112961000000</v>
      </c>
      <c r="K175" s="64">
        <f t="shared" si="105"/>
        <v>0</v>
      </c>
      <c r="L175" s="64">
        <f t="shared" si="105"/>
        <v>0</v>
      </c>
      <c r="M175" s="64">
        <f t="shared" si="105"/>
        <v>112961000000</v>
      </c>
      <c r="N175" s="3">
        <f t="shared" si="105"/>
        <v>0</v>
      </c>
      <c r="O175" s="64">
        <f t="shared" si="105"/>
        <v>46027775461.559998</v>
      </c>
      <c r="P175" s="64">
        <f t="shared" si="105"/>
        <v>66933224538.439995</v>
      </c>
      <c r="Q175" s="64">
        <f t="shared" si="105"/>
        <v>37822467104.559998</v>
      </c>
      <c r="R175" s="76">
        <f t="shared" si="61"/>
        <v>0.33482765825869104</v>
      </c>
      <c r="S175" s="64">
        <f>S120+S152</f>
        <v>734978464</v>
      </c>
      <c r="T175" s="73">
        <f>T120+T152</f>
        <v>703949705.25999999</v>
      </c>
    </row>
    <row r="176" spans="1:20" ht="15" customHeight="1" x14ac:dyDescent="0.25">
      <c r="A176" s="81" t="s">
        <v>18</v>
      </c>
      <c r="B176" s="81"/>
      <c r="C176" s="81"/>
      <c r="D176" s="81"/>
      <c r="E176" s="81"/>
      <c r="F176" s="81"/>
      <c r="G176" s="82" t="s">
        <v>19</v>
      </c>
      <c r="H176" s="81" t="s">
        <v>8</v>
      </c>
      <c r="I176" s="83">
        <v>21</v>
      </c>
      <c r="J176" s="64">
        <f>J121</f>
        <v>1194647000</v>
      </c>
      <c r="K176" s="64">
        <f>K121</f>
        <v>0</v>
      </c>
      <c r="L176" s="64">
        <f>L121</f>
        <v>0</v>
      </c>
      <c r="M176" s="64">
        <f>M121</f>
        <v>1194647000</v>
      </c>
      <c r="N176" s="3">
        <v>0</v>
      </c>
      <c r="O176" s="64">
        <f>O121</f>
        <v>1194647000</v>
      </c>
      <c r="P176" s="64">
        <f>P121</f>
        <v>0</v>
      </c>
      <c r="Q176" s="64">
        <f>Q121</f>
        <v>1194647000</v>
      </c>
      <c r="R176" s="76">
        <f t="shared" si="61"/>
        <v>1</v>
      </c>
      <c r="S176" s="64">
        <f>S121</f>
        <v>0</v>
      </c>
      <c r="T176" s="73">
        <f>T121</f>
        <v>0</v>
      </c>
    </row>
    <row r="177" spans="1:20" s="5" customFormat="1" ht="13.5" customHeight="1" thickBot="1" x14ac:dyDescent="0.25">
      <c r="A177" s="129" t="s">
        <v>29</v>
      </c>
      <c r="B177" s="130"/>
      <c r="C177" s="130"/>
      <c r="D177" s="130"/>
      <c r="E177" s="130"/>
      <c r="F177" s="130"/>
      <c r="G177" s="130"/>
      <c r="H177" s="130"/>
      <c r="I177" s="131"/>
      <c r="J177" s="40">
        <f t="shared" ref="J177:Q177" si="106">SUM(J175:J176)</f>
        <v>114155647000</v>
      </c>
      <c r="K177" s="40">
        <f t="shared" si="106"/>
        <v>0</v>
      </c>
      <c r="L177" s="40">
        <f t="shared" si="106"/>
        <v>0</v>
      </c>
      <c r="M177" s="40">
        <f t="shared" si="106"/>
        <v>114155647000</v>
      </c>
      <c r="N177" s="40">
        <f t="shared" si="106"/>
        <v>0</v>
      </c>
      <c r="O177" s="40">
        <f t="shared" si="106"/>
        <v>47222422461.559998</v>
      </c>
      <c r="P177" s="40">
        <f t="shared" si="106"/>
        <v>66933224538.439995</v>
      </c>
      <c r="Q177" s="40">
        <f t="shared" si="106"/>
        <v>39017114104.559998</v>
      </c>
      <c r="R177" s="42">
        <f t="shared" si="61"/>
        <v>0.34178873432831575</v>
      </c>
      <c r="S177" s="40">
        <f>SUM(S175:S176)</f>
        <v>734978464</v>
      </c>
      <c r="T177" s="53">
        <f>SUM(T175:T176)</f>
        <v>703949705.25999999</v>
      </c>
    </row>
    <row r="178" spans="1:20" s="15" customFormat="1" ht="11.25" customHeight="1" thickBot="1" x14ac:dyDescent="0.3">
      <c r="A178" s="129" t="s">
        <v>30</v>
      </c>
      <c r="B178" s="130"/>
      <c r="C178" s="130"/>
      <c r="D178" s="130"/>
      <c r="E178" s="130"/>
      <c r="F178" s="130"/>
      <c r="G178" s="130"/>
      <c r="H178" s="130"/>
      <c r="I178" s="130"/>
      <c r="J178" s="80">
        <f t="shared" ref="J178:Q178" si="107">+J177+J118</f>
        <v>503698560000</v>
      </c>
      <c r="K178" s="80">
        <f t="shared" si="107"/>
        <v>1561999792.8899999</v>
      </c>
      <c r="L178" s="80">
        <f t="shared" si="107"/>
        <v>1561999792.8899999</v>
      </c>
      <c r="M178" s="80">
        <f t="shared" si="107"/>
        <v>503698560000</v>
      </c>
      <c r="N178" s="79">
        <f t="shared" si="107"/>
        <v>29515700000</v>
      </c>
      <c r="O178" s="40">
        <f t="shared" si="107"/>
        <v>166861016181.84</v>
      </c>
      <c r="P178" s="40">
        <f t="shared" si="107"/>
        <v>307321843818.15997</v>
      </c>
      <c r="Q178" s="40">
        <f t="shared" si="107"/>
        <v>155959235803.59</v>
      </c>
      <c r="R178" s="42">
        <f t="shared" si="61"/>
        <v>0.30962811528305739</v>
      </c>
      <c r="S178" s="40">
        <f>+S177+S118</f>
        <v>94023212663</v>
      </c>
      <c r="T178" s="53">
        <f>+T177+T118</f>
        <v>93719897579.259995</v>
      </c>
    </row>
    <row r="179" spans="1:20" s="15" customFormat="1" ht="6.75" customHeight="1" x14ac:dyDescent="0.25">
      <c r="A179" s="109"/>
      <c r="B179" s="109"/>
      <c r="C179" s="109"/>
      <c r="D179" s="109"/>
      <c r="E179" s="109"/>
      <c r="F179" s="109"/>
      <c r="G179" s="109"/>
      <c r="H179" s="109"/>
      <c r="I179" s="109"/>
      <c r="J179" s="104"/>
      <c r="K179" s="104"/>
      <c r="L179" s="104"/>
      <c r="M179" s="104">
        <f>J178-M178</f>
        <v>0</v>
      </c>
      <c r="N179" s="104"/>
      <c r="O179" s="104"/>
      <c r="P179" s="104"/>
      <c r="Q179" s="104"/>
      <c r="R179" s="110"/>
      <c r="S179" s="104"/>
      <c r="T179" s="104"/>
    </row>
    <row r="180" spans="1:20" s="15" customFormat="1" ht="9" customHeight="1" x14ac:dyDescent="0.25">
      <c r="A180" s="15" t="s">
        <v>32</v>
      </c>
      <c r="E180" s="16"/>
      <c r="F180" s="17"/>
      <c r="G180" s="18"/>
      <c r="H180" s="19"/>
      <c r="I180" s="20"/>
      <c r="J180" s="20"/>
      <c r="K180" s="20"/>
      <c r="L180" s="20"/>
      <c r="M180" s="104"/>
      <c r="N180" s="60"/>
      <c r="O180" s="45"/>
      <c r="P180" s="21"/>
      <c r="Q180" s="30"/>
      <c r="R180" s="21"/>
      <c r="S180" s="66"/>
      <c r="T180" s="66"/>
    </row>
    <row r="181" spans="1:20" s="15" customFormat="1" ht="9" customHeight="1" x14ac:dyDescent="0.25">
      <c r="A181" s="15" t="s">
        <v>215</v>
      </c>
      <c r="E181" s="16"/>
      <c r="F181" s="17"/>
      <c r="G181" s="18"/>
      <c r="H181" s="19"/>
      <c r="I181" s="20"/>
      <c r="J181" s="20"/>
      <c r="K181" s="20"/>
      <c r="L181" s="20">
        <f>K178-L178</f>
        <v>0</v>
      </c>
      <c r="N181" s="66"/>
      <c r="O181" s="28"/>
      <c r="P181" s="21"/>
      <c r="Q181" s="31"/>
      <c r="R181" s="21"/>
    </row>
    <row r="182" spans="1:20" s="15" customFormat="1" ht="9" customHeight="1" x14ac:dyDescent="0.25">
      <c r="A182" s="15" t="s">
        <v>214</v>
      </c>
      <c r="E182" s="16"/>
      <c r="F182" s="17"/>
      <c r="G182" s="18"/>
      <c r="H182" s="19"/>
      <c r="I182" s="20"/>
      <c r="J182" s="20"/>
      <c r="K182" s="20"/>
      <c r="L182" s="111"/>
      <c r="M182" s="66"/>
      <c r="N182" s="21"/>
      <c r="O182" s="67"/>
      <c r="P182" s="21"/>
      <c r="Q182" s="31"/>
      <c r="R182" s="21"/>
    </row>
    <row r="183" spans="1:20" x14ac:dyDescent="0.25">
      <c r="A183" s="15" t="s">
        <v>235</v>
      </c>
      <c r="B183" s="15"/>
      <c r="C183" s="15"/>
      <c r="D183" s="15"/>
      <c r="E183" s="16"/>
      <c r="F183" s="17"/>
      <c r="G183" s="18"/>
      <c r="H183" s="19"/>
      <c r="I183" s="20"/>
      <c r="J183" s="20"/>
      <c r="K183" s="20"/>
      <c r="L183" s="20"/>
      <c r="M183" s="15"/>
      <c r="N183" s="66"/>
      <c r="O183" s="28"/>
      <c r="P183" s="21"/>
      <c r="Q183" s="31"/>
      <c r="R183" s="21"/>
      <c r="S183" s="15"/>
      <c r="T183" s="15"/>
    </row>
    <row r="184" spans="1:20" x14ac:dyDescent="0.25">
      <c r="L184" s="112"/>
    </row>
  </sheetData>
  <mergeCells count="13">
    <mergeCell ref="A2:T2"/>
    <mergeCell ref="A1:F1"/>
    <mergeCell ref="A119:T119"/>
    <mergeCell ref="A177:I177"/>
    <mergeCell ref="A178:I178"/>
    <mergeCell ref="A34:I34"/>
    <mergeCell ref="A35:T35"/>
    <mergeCell ref="A88:I88"/>
    <mergeCell ref="A89:T89"/>
    <mergeCell ref="A113:I113"/>
    <mergeCell ref="A118:I118"/>
    <mergeCell ref="A102:T102"/>
    <mergeCell ref="A101:I101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ABRIL-30-2025
&amp;R
Página &amp;P de &amp;N</oddHeader>
  </headerFooter>
  <ignoredErrors>
    <ignoredError sqref="N51:N56 P96 N23:N31 F111 H111:I111 C33:I33 Q33 G23:I26 H27:I27 G28:I31 H51:I52 H54:I56 C18:D18 C19:E26 C3:E4 I4 C45:I46 C98:F98 C36 C5:F17 C27:F32 M86:O86 N94:Q94 N88:Q88 P110 N110 M104:Q104 M103 M105:O105 M108:O109 C99 Q105 S87:T88 S92:T95 S101:T101 S108:T109 S103:T105 O103 Q90 B103:E112 Q108:Q109 B92:B100 F99 H99 B90:I91 S90:T90 C100:I100 N101:O101 N33:O34 S33:T34 F103:I110 C93:I94 C85:I87 B160:D161 N87:Q87 B152:E152 F155 F157:F158 F160:F161 F169:F170 B147:C147 B153:D158 B159:L159 N159 C81:F84 B81:B87 B45:B47 C47:F47 B166:L166 B162:C165 L165 N93:O93 Q92:Q93 N95:O95 Q95 Q103 Q101 C37:F43 B167:D170 B3:B33 B148:D151 F148:F151 E162:F162 H162:I163 K163 H164:L164 E164:F164 H165:I165 F167:I167 K167 C92:F92 H92:I92 C96:I97 C95:F95 H95:I95 B171:C174 B138:D138 I70:I84 B70:F80 B36:B43 B44:F44 B48:F48 B49:F62 I57:I63 B63:F63 B64:F69 I64:I69" numberStoredAsText="1"/>
    <ignoredError sqref="M18:N18 N112 P26 P18 P98 M26 M95 M98 M147:P147 M168:P168 M171:N171 P123 A114:K114 G123:I123 G125:I125 A139:A146 E122:L122 E126:F126 E130:L130 G139:I139 G142:I142 A119:T119 A116:Q117 S115:T117 M123:N123 M126:N126 H143:R143 E124:M124 H126:L126 E134:I134 H144:I144 P142 M127:N127 G127:I129 L128:N128 G145:I146 L135:N135 G135:I137 M136:N137 M154:N154 P126:P129 P144:P146 A121:F121 H121:I121 P125 P132:P133 P135:P137 M156:N156 M155:N155 P155 P105 N122:O122 Q122 G140:H141 N140:N141 M125 E131:O131 Q114 A115:O115 Q115 A120:I120 Q130:Q131 G132:I133 M142:N142 M114:O114 M144:M146 N130:O130 P159 K123 K125 K127 K129:N129 K132:N133 K136:K137 K140 K142 K144 K146 A122:A137 K134:R134 J153:O153 P153:Q153 S153:T153 A118:R118 T118 P154 P156 P171 P165 M162 P162 P124:Q124 S143:T143 S122:T122 S130:T131 S134:T134 S124:T124 R18 R3:R4 R26 R33:R34 R36 R45:R47 R90:R95 R103:R110 R111:R117 R120:R122 R124:R126 R138:R139 R147 R152:R156 R159:R162 R164:R173 R175:R178 R130:R131 R96:R101 N124 R85:R88" formula="1"/>
    <ignoredError sqref="P108:P109 N103 P92 M167 M165:N165 M166:P166 M164:N164 M159 P163 M163 B143:F143 B139:F139 P167 F123 F125 F127:F129 B134:D137 F135:F137 B140:D142 F140:F142 B144:D146 B132:F133 B122:D131 F144:F146 P164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ABRIL-30-2025</vt:lpstr>
      <vt:lpstr>'ABRIL-30-2025'!Área_de_impresión</vt:lpstr>
      <vt:lpstr>'ABRIL-30-2025'!Títulos_a_imprimir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2025-05-05T13:25:00Z</cp:lastPrinted>
  <dcterms:created xsi:type="dcterms:W3CDTF">2016-02-01T15:56:25Z</dcterms:created>
  <dcterms:modified xsi:type="dcterms:W3CDTF">2025-05-08T21:54:43Z</dcterms:modified>
</cp:coreProperties>
</file>